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Višnja\2026\PRORAČUN 2026\"/>
    </mc:Choice>
  </mc:AlternateContent>
  <xr:revisionPtr revIDLastSave="0" documentId="13_ncr:1_{62C37042-F6A7-42B7-BF12-CCA020B897B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SEBNI DIO" sheetId="3" state="hidden" r:id="rId1"/>
    <sheet name="Opći dio" sheetId="1" r:id="rId2"/>
    <sheet name="Posebni" sheetId="4" r:id="rId3"/>
  </sheets>
  <definedNames>
    <definedName name="BROJ_KONTA">'Opći dio'!$H$35</definedName>
    <definedName name="INDEKS_2006_2005">'Opći dio'!#REF!</definedName>
    <definedName name="_xlnm.Print_Titles" localSheetId="1">'Opći dio'!$34:$35</definedName>
    <definedName name="_xlnm.Print_Titles" localSheetId="2">Posebni!$5:$6</definedName>
    <definedName name="Ostv_2004.">'Opći dio'!$J$35</definedName>
    <definedName name="Plan_2005">'Opći dio'!$K$35</definedName>
    <definedName name="_xlnm.Print_Area" localSheetId="1">'Opći dio'!$A$1:$T$237</definedName>
    <definedName name="_xlnm.Print_Area" localSheetId="2">Posebni!$A$1:$N$669</definedName>
    <definedName name="_xlnm.Print_Area" localSheetId="0">'POSEBNI DIO'!$A$1:$J$499</definedName>
    <definedName name="Pozicija">#REF!</definedName>
    <definedName name="Procj_2005">'Opći dio'!$L$35</definedName>
    <definedName name="VRSTA_PRIHODA_IZDATAKA">'Opći dio'!$I$35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2" i="1" l="1"/>
  <c r="I522" i="4"/>
  <c r="P61" i="1"/>
  <c r="Q61" i="1"/>
  <c r="R61" i="1"/>
  <c r="O61" i="1"/>
  <c r="T65" i="1"/>
  <c r="S63" i="1"/>
  <c r="M668" i="4" l="1"/>
  <c r="K106" i="4"/>
  <c r="T222" i="1"/>
  <c r="T223" i="1"/>
  <c r="J171" i="4" l="1"/>
  <c r="K171" i="4"/>
  <c r="R122" i="1"/>
  <c r="J16" i="4"/>
  <c r="K16" i="4"/>
  <c r="J18" i="4"/>
  <c r="K18" i="4"/>
  <c r="O122" i="1"/>
  <c r="P122" i="1"/>
  <c r="Q122" i="1"/>
  <c r="P186" i="1"/>
  <c r="Q186" i="1"/>
  <c r="R186" i="1"/>
  <c r="P116" i="1"/>
  <c r="Q116" i="1"/>
  <c r="R116" i="1"/>
  <c r="P197" i="1"/>
  <c r="Q197" i="1"/>
  <c r="R197" i="1"/>
  <c r="Q195" i="1"/>
  <c r="P192" i="1"/>
  <c r="Q192" i="1"/>
  <c r="R192" i="1"/>
  <c r="P191" i="1"/>
  <c r="Q191" i="1"/>
  <c r="R191" i="1"/>
  <c r="P180" i="1"/>
  <c r="Q180" i="1"/>
  <c r="R180" i="1"/>
  <c r="P179" i="1"/>
  <c r="Q179" i="1"/>
  <c r="R179" i="1"/>
  <c r="P175" i="1"/>
  <c r="Q175" i="1"/>
  <c r="R175" i="1"/>
  <c r="P160" i="1"/>
  <c r="Q160" i="1"/>
  <c r="R160" i="1"/>
  <c r="P159" i="1"/>
  <c r="P156" i="1"/>
  <c r="Q156" i="1"/>
  <c r="R156" i="1"/>
  <c r="P155" i="1"/>
  <c r="Q155" i="1"/>
  <c r="R155" i="1"/>
  <c r="P134" i="1"/>
  <c r="Q134" i="1"/>
  <c r="R134" i="1"/>
  <c r="P133" i="1"/>
  <c r="Q133" i="1"/>
  <c r="R133" i="1"/>
  <c r="P132" i="1"/>
  <c r="Q132" i="1"/>
  <c r="R132" i="1"/>
  <c r="P130" i="1"/>
  <c r="Q130" i="1"/>
  <c r="R130" i="1"/>
  <c r="P128" i="1"/>
  <c r="Q128" i="1"/>
  <c r="P127" i="1"/>
  <c r="Q127" i="1"/>
  <c r="R127" i="1"/>
  <c r="P126" i="1"/>
  <c r="Q126" i="1"/>
  <c r="R126" i="1"/>
  <c r="P125" i="1"/>
  <c r="Q125" i="1"/>
  <c r="R125" i="1"/>
  <c r="P124" i="1"/>
  <c r="Q124" i="1"/>
  <c r="R124" i="1"/>
  <c r="P123" i="1"/>
  <c r="Q123" i="1"/>
  <c r="R123" i="1"/>
  <c r="P121" i="1"/>
  <c r="Q121" i="1"/>
  <c r="R121" i="1"/>
  <c r="P106" i="1"/>
  <c r="Q106" i="1"/>
  <c r="R106" i="1"/>
  <c r="P104" i="1"/>
  <c r="Q104" i="1"/>
  <c r="R104" i="1"/>
  <c r="P102" i="1"/>
  <c r="Q102" i="1"/>
  <c r="R102" i="1"/>
  <c r="K409" i="4"/>
  <c r="I409" i="4"/>
  <c r="J409" i="4"/>
  <c r="O179" i="1" l="1"/>
  <c r="N413" i="4"/>
  <c r="L413" i="4"/>
  <c r="G413" i="4"/>
  <c r="I590" i="4"/>
  <c r="J590" i="4"/>
  <c r="M591" i="4"/>
  <c r="M592" i="4"/>
  <c r="N595" i="4"/>
  <c r="M595" i="4"/>
  <c r="K590" i="4"/>
  <c r="J593" i="4"/>
  <c r="K593" i="4"/>
  <c r="I593" i="4"/>
  <c r="O126" i="1"/>
  <c r="G595" i="4"/>
  <c r="O180" i="1"/>
  <c r="L592" i="4"/>
  <c r="G592" i="4"/>
  <c r="J567" i="4"/>
  <c r="K567" i="4"/>
  <c r="K551" i="4"/>
  <c r="J493" i="4"/>
  <c r="K493" i="4"/>
  <c r="J496" i="4"/>
  <c r="K496" i="4"/>
  <c r="J435" i="4"/>
  <c r="K435" i="4"/>
  <c r="I435" i="4"/>
  <c r="N437" i="4"/>
  <c r="M437" i="4"/>
  <c r="K389" i="4"/>
  <c r="I589" i="4" l="1"/>
  <c r="J589" i="4"/>
  <c r="M593" i="4"/>
  <c r="K589" i="4"/>
  <c r="K588" i="4" s="1"/>
  <c r="K492" i="4"/>
  <c r="J492" i="4"/>
  <c r="O123" i="1"/>
  <c r="J153" i="4"/>
  <c r="J152" i="4" s="1"/>
  <c r="K153" i="4"/>
  <c r="I153" i="4"/>
  <c r="I152" i="4" s="1"/>
  <c r="I151" i="4" s="1"/>
  <c r="I148" i="4" s="1"/>
  <c r="N157" i="4"/>
  <c r="M157" i="4"/>
  <c r="L157" i="4"/>
  <c r="G157" i="4"/>
  <c r="N155" i="4"/>
  <c r="M155" i="4"/>
  <c r="L155" i="4"/>
  <c r="G155" i="4"/>
  <c r="N156" i="4"/>
  <c r="M156" i="4"/>
  <c r="L156" i="4"/>
  <c r="G156" i="4"/>
  <c r="N154" i="4"/>
  <c r="M154" i="4"/>
  <c r="L154" i="4"/>
  <c r="L153" i="4" s="1"/>
  <c r="L152" i="4" s="1"/>
  <c r="L151" i="4" s="1"/>
  <c r="L148" i="4" s="1"/>
  <c r="G154" i="4"/>
  <c r="G153" i="4" s="1"/>
  <c r="G152" i="4" s="1"/>
  <c r="G151" i="4" s="1"/>
  <c r="G148" i="4" s="1"/>
  <c r="H153" i="4"/>
  <c r="H152" i="4" s="1"/>
  <c r="H151" i="4" s="1"/>
  <c r="H148" i="4" s="1"/>
  <c r="F153" i="4"/>
  <c r="F152" i="4" s="1"/>
  <c r="F151" i="4" s="1"/>
  <c r="F148" i="4" s="1"/>
  <c r="O116" i="1"/>
  <c r="N33" i="4"/>
  <c r="M33" i="4"/>
  <c r="L33" i="4"/>
  <c r="G33" i="4"/>
  <c r="Q188" i="1"/>
  <c r="Q187" i="1" s="1"/>
  <c r="R188" i="1"/>
  <c r="O188" i="1"/>
  <c r="J68" i="4"/>
  <c r="K68" i="4"/>
  <c r="I68" i="4"/>
  <c r="E68" i="4"/>
  <c r="G69" i="4"/>
  <c r="L69" i="4"/>
  <c r="M69" i="4"/>
  <c r="N69" i="4"/>
  <c r="Q110" i="1"/>
  <c r="R110" i="1"/>
  <c r="Q111" i="1"/>
  <c r="R111" i="1"/>
  <c r="Q112" i="1"/>
  <c r="R112" i="1"/>
  <c r="Q113" i="1"/>
  <c r="R113" i="1"/>
  <c r="Q115" i="1"/>
  <c r="R115" i="1"/>
  <c r="Q117" i="1"/>
  <c r="R117" i="1"/>
  <c r="Q118" i="1"/>
  <c r="R118" i="1"/>
  <c r="Q119" i="1"/>
  <c r="R119" i="1"/>
  <c r="Q135" i="1"/>
  <c r="R135" i="1"/>
  <c r="Q136" i="1"/>
  <c r="R136" i="1"/>
  <c r="Q137" i="1"/>
  <c r="R137" i="1"/>
  <c r="Q142" i="1"/>
  <c r="R142" i="1"/>
  <c r="Q143" i="1"/>
  <c r="R143" i="1"/>
  <c r="Q144" i="1"/>
  <c r="R144" i="1"/>
  <c r="Q147" i="1"/>
  <c r="R147" i="1"/>
  <c r="Q148" i="1"/>
  <c r="R148" i="1"/>
  <c r="Q162" i="1"/>
  <c r="R162" i="1"/>
  <c r="Q164" i="1"/>
  <c r="R164" i="1"/>
  <c r="Q171" i="1"/>
  <c r="R171" i="1"/>
  <c r="Q182" i="1"/>
  <c r="R182" i="1"/>
  <c r="Q183" i="1"/>
  <c r="R183" i="1"/>
  <c r="Q185" i="1"/>
  <c r="R185" i="1"/>
  <c r="Q190" i="1"/>
  <c r="R190" i="1"/>
  <c r="O159" i="1"/>
  <c r="O102" i="1"/>
  <c r="N153" i="4" l="1"/>
  <c r="K152" i="4"/>
  <c r="K151" i="4" s="1"/>
  <c r="K148" i="4" s="1"/>
  <c r="M153" i="4"/>
  <c r="M152" i="4"/>
  <c r="T188" i="1"/>
  <c r="S188" i="1"/>
  <c r="P188" i="1"/>
  <c r="P187" i="1" s="1"/>
  <c r="O187" i="1"/>
  <c r="S187" i="1" s="1"/>
  <c r="R187" i="1"/>
  <c r="T187" i="1" s="1"/>
  <c r="N594" i="4"/>
  <c r="M594" i="4"/>
  <c r="L594" i="4"/>
  <c r="G594" i="4"/>
  <c r="E593" i="4"/>
  <c r="L591" i="4"/>
  <c r="L590" i="4" s="1"/>
  <c r="L589" i="4" s="1"/>
  <c r="L588" i="4" s="1"/>
  <c r="G591" i="4"/>
  <c r="G590" i="4" s="1"/>
  <c r="G589" i="4" s="1"/>
  <c r="G588" i="4" s="1"/>
  <c r="I588" i="4"/>
  <c r="H590" i="4"/>
  <c r="H589" i="4" s="1"/>
  <c r="H588" i="4" s="1"/>
  <c r="F590" i="4"/>
  <c r="F589" i="4" s="1"/>
  <c r="F588" i="4" s="1"/>
  <c r="I496" i="4"/>
  <c r="N500" i="4"/>
  <c r="M500" i="4"/>
  <c r="L500" i="4"/>
  <c r="G500" i="4"/>
  <c r="N499" i="4"/>
  <c r="M499" i="4"/>
  <c r="L499" i="4"/>
  <c r="G499" i="4"/>
  <c r="N498" i="4"/>
  <c r="M498" i="4"/>
  <c r="L498" i="4"/>
  <c r="G498" i="4"/>
  <c r="N497" i="4"/>
  <c r="M497" i="4"/>
  <c r="L497" i="4"/>
  <c r="G497" i="4"/>
  <c r="H496" i="4"/>
  <c r="E496" i="4"/>
  <c r="M312" i="4"/>
  <c r="N312" i="4"/>
  <c r="O186" i="1"/>
  <c r="I541" i="4"/>
  <c r="I540" i="4" s="1"/>
  <c r="J541" i="4"/>
  <c r="J540" i="4" s="1"/>
  <c r="K541" i="4"/>
  <c r="K540" i="4" s="1"/>
  <c r="N545" i="4"/>
  <c r="M545" i="4"/>
  <c r="L545" i="4"/>
  <c r="G545" i="4"/>
  <c r="N547" i="4"/>
  <c r="M547" i="4"/>
  <c r="L547" i="4"/>
  <c r="G547" i="4"/>
  <c r="I551" i="4"/>
  <c r="J551" i="4"/>
  <c r="H551" i="4"/>
  <c r="N554" i="4"/>
  <c r="M554" i="4"/>
  <c r="L554" i="4"/>
  <c r="G554" i="4"/>
  <c r="N553" i="4"/>
  <c r="M553" i="4"/>
  <c r="L553" i="4"/>
  <c r="G553" i="4"/>
  <c r="N552" i="4"/>
  <c r="M552" i="4"/>
  <c r="L552" i="4"/>
  <c r="G552" i="4"/>
  <c r="E551" i="4"/>
  <c r="E541" i="4" s="1"/>
  <c r="H541" i="4"/>
  <c r="H540" i="4" s="1"/>
  <c r="N549" i="4"/>
  <c r="M549" i="4"/>
  <c r="L549" i="4"/>
  <c r="G549" i="4"/>
  <c r="N548" i="4"/>
  <c r="M548" i="4"/>
  <c r="L548" i="4"/>
  <c r="G548" i="4"/>
  <c r="N546" i="4"/>
  <c r="M546" i="4"/>
  <c r="L546" i="4"/>
  <c r="G546" i="4"/>
  <c r="N544" i="4"/>
  <c r="M544" i="4"/>
  <c r="L544" i="4"/>
  <c r="G544" i="4"/>
  <c r="I538" i="4"/>
  <c r="I535" i="4"/>
  <c r="J535" i="4"/>
  <c r="K535" i="4"/>
  <c r="H535" i="4"/>
  <c r="N543" i="4"/>
  <c r="M543" i="4"/>
  <c r="L543" i="4"/>
  <c r="G543" i="4"/>
  <c r="N542" i="4"/>
  <c r="M542" i="4"/>
  <c r="L542" i="4"/>
  <c r="G542" i="4"/>
  <c r="J588" i="4" l="1"/>
  <c r="M586" i="4" s="1"/>
  <c r="M590" i="4"/>
  <c r="N152" i="4"/>
  <c r="J151" i="4"/>
  <c r="N593" i="4"/>
  <c r="M496" i="4"/>
  <c r="N496" i="4"/>
  <c r="M551" i="4"/>
  <c r="I550" i="4"/>
  <c r="N551" i="4"/>
  <c r="J550" i="4"/>
  <c r="J534" i="4"/>
  <c r="K550" i="4"/>
  <c r="I534" i="4"/>
  <c r="M541" i="4"/>
  <c r="N541" i="4"/>
  <c r="M589" i="4" l="1"/>
  <c r="J148" i="4"/>
  <c r="N149" i="4"/>
  <c r="M149" i="4"/>
  <c r="J533" i="4"/>
  <c r="I533" i="4"/>
  <c r="M148" i="4" l="1"/>
  <c r="N148" i="4"/>
  <c r="O197" i="1"/>
  <c r="I486" i="4"/>
  <c r="N488" i="4"/>
  <c r="M488" i="4"/>
  <c r="L488" i="4"/>
  <c r="G488" i="4"/>
  <c r="H409" i="4"/>
  <c r="M411" i="4"/>
  <c r="L411" i="4"/>
  <c r="G411" i="4"/>
  <c r="M466" i="4"/>
  <c r="L466" i="4"/>
  <c r="L465" i="4" s="1"/>
  <c r="L464" i="4" s="1"/>
  <c r="L463" i="4" s="1"/>
  <c r="G466" i="4"/>
  <c r="G465" i="4" s="1"/>
  <c r="G464" i="4" s="1"/>
  <c r="G463" i="4" s="1"/>
  <c r="K465" i="4"/>
  <c r="K464" i="4" s="1"/>
  <c r="K463" i="4" s="1"/>
  <c r="J465" i="4"/>
  <c r="I465" i="4"/>
  <c r="I464" i="4" s="1"/>
  <c r="I463" i="4" s="1"/>
  <c r="H465" i="4"/>
  <c r="H464" i="4" s="1"/>
  <c r="H463" i="4" s="1"/>
  <c r="F465" i="4"/>
  <c r="F464" i="4" s="1"/>
  <c r="F463" i="4" s="1"/>
  <c r="N585" i="4"/>
  <c r="M585" i="4"/>
  <c r="L585" i="4"/>
  <c r="G585" i="4"/>
  <c r="K584" i="4"/>
  <c r="J584" i="4"/>
  <c r="I584" i="4"/>
  <c r="E584" i="4"/>
  <c r="M583" i="4"/>
  <c r="L583" i="4"/>
  <c r="L582" i="4" s="1"/>
  <c r="L581" i="4" s="1"/>
  <c r="L580" i="4" s="1"/>
  <c r="G583" i="4"/>
  <c r="G582" i="4" s="1"/>
  <c r="G581" i="4" s="1"/>
  <c r="G580" i="4" s="1"/>
  <c r="K582" i="4"/>
  <c r="K581" i="4" s="1"/>
  <c r="J582" i="4"/>
  <c r="J581" i="4" s="1"/>
  <c r="J580" i="4" s="1"/>
  <c r="I582" i="4"/>
  <c r="I581" i="4" s="1"/>
  <c r="H582" i="4"/>
  <c r="H581" i="4" s="1"/>
  <c r="H580" i="4" s="1"/>
  <c r="F582" i="4"/>
  <c r="F581" i="4" s="1"/>
  <c r="F580" i="4" s="1"/>
  <c r="N487" i="4"/>
  <c r="M487" i="4"/>
  <c r="L487" i="4"/>
  <c r="G487" i="4"/>
  <c r="K486" i="4"/>
  <c r="J486" i="4"/>
  <c r="H486" i="4"/>
  <c r="E486" i="4"/>
  <c r="H483" i="4"/>
  <c r="J483" i="4"/>
  <c r="K483" i="4"/>
  <c r="I483" i="4"/>
  <c r="N485" i="4"/>
  <c r="M485" i="4"/>
  <c r="L485" i="4"/>
  <c r="G485" i="4"/>
  <c r="N484" i="4"/>
  <c r="M484" i="4"/>
  <c r="L484" i="4"/>
  <c r="L483" i="4" s="1"/>
  <c r="L482" i="4" s="1"/>
  <c r="L481" i="4" s="1"/>
  <c r="G484" i="4"/>
  <c r="G483" i="4" s="1"/>
  <c r="G482" i="4" s="1"/>
  <c r="G481" i="4" s="1"/>
  <c r="F483" i="4"/>
  <c r="F482" i="4" s="1"/>
  <c r="F481" i="4" s="1"/>
  <c r="N517" i="4"/>
  <c r="M517" i="4"/>
  <c r="L517" i="4"/>
  <c r="G517" i="4"/>
  <c r="N516" i="4"/>
  <c r="M516" i="4"/>
  <c r="L516" i="4"/>
  <c r="G516" i="4"/>
  <c r="K515" i="4"/>
  <c r="J515" i="4"/>
  <c r="I515" i="4"/>
  <c r="H515" i="4"/>
  <c r="E515" i="4"/>
  <c r="N439" i="4"/>
  <c r="M439" i="4"/>
  <c r="L439" i="4"/>
  <c r="G439" i="4"/>
  <c r="K438" i="4"/>
  <c r="J438" i="4"/>
  <c r="I438" i="4"/>
  <c r="H438" i="4"/>
  <c r="J414" i="4"/>
  <c r="J408" i="4" s="1"/>
  <c r="J407" i="4" s="1"/>
  <c r="K414" i="4"/>
  <c r="K408" i="4" s="1"/>
  <c r="K407" i="4" s="1"/>
  <c r="H414" i="4"/>
  <c r="I414" i="4"/>
  <c r="N415" i="4"/>
  <c r="M415" i="4"/>
  <c r="L415" i="4"/>
  <c r="G415" i="4"/>
  <c r="E414" i="4"/>
  <c r="I76" i="4"/>
  <c r="J76" i="4"/>
  <c r="K76" i="4"/>
  <c r="O182" i="1"/>
  <c r="N77" i="4"/>
  <c r="M77" i="4"/>
  <c r="L77" i="4"/>
  <c r="G77" i="4"/>
  <c r="E76" i="4"/>
  <c r="N514" i="4"/>
  <c r="M514" i="4"/>
  <c r="L514" i="4"/>
  <c r="G514" i="4"/>
  <c r="N513" i="4"/>
  <c r="M513" i="4"/>
  <c r="L513" i="4"/>
  <c r="L512" i="4" s="1"/>
  <c r="L511" i="4" s="1"/>
  <c r="L510" i="4" s="1"/>
  <c r="G513" i="4"/>
  <c r="G512" i="4" s="1"/>
  <c r="G511" i="4" s="1"/>
  <c r="G510" i="4" s="1"/>
  <c r="K512" i="4"/>
  <c r="K511" i="4" s="1"/>
  <c r="J512" i="4"/>
  <c r="J511" i="4" s="1"/>
  <c r="I512" i="4"/>
  <c r="H512" i="4"/>
  <c r="H511" i="4" s="1"/>
  <c r="H510" i="4" s="1"/>
  <c r="F512" i="4"/>
  <c r="F511" i="4" s="1"/>
  <c r="F510" i="4" s="1"/>
  <c r="O191" i="1"/>
  <c r="L614" i="4"/>
  <c r="L613" i="4" s="1"/>
  <c r="L612" i="4" s="1"/>
  <c r="K615" i="4"/>
  <c r="K614" i="4" s="1"/>
  <c r="K613" i="4" s="1"/>
  <c r="J615" i="4"/>
  <c r="J614" i="4" s="1"/>
  <c r="J613" i="4" s="1"/>
  <c r="I615" i="4"/>
  <c r="I614" i="4" s="1"/>
  <c r="I613" i="4" s="1"/>
  <c r="H615" i="4"/>
  <c r="H614" i="4" s="1"/>
  <c r="H613" i="4" s="1"/>
  <c r="G615" i="4"/>
  <c r="G614" i="4" s="1"/>
  <c r="G613" i="4" s="1"/>
  <c r="F615" i="4"/>
  <c r="F614" i="4" s="1"/>
  <c r="F613" i="4" s="1"/>
  <c r="I636" i="4"/>
  <c r="M460" i="4"/>
  <c r="L460" i="4"/>
  <c r="L459" i="4" s="1"/>
  <c r="L458" i="4" s="1"/>
  <c r="L457" i="4" s="1"/>
  <c r="G460" i="4"/>
  <c r="G459" i="4" s="1"/>
  <c r="G458" i="4" s="1"/>
  <c r="G457" i="4" s="1"/>
  <c r="K459" i="4"/>
  <c r="K458" i="4" s="1"/>
  <c r="K457" i="4" s="1"/>
  <c r="J459" i="4"/>
  <c r="I459" i="4"/>
  <c r="I458" i="4" s="1"/>
  <c r="I457" i="4" s="1"/>
  <c r="H459" i="4"/>
  <c r="H458" i="4" s="1"/>
  <c r="H457" i="4" s="1"/>
  <c r="F459" i="4"/>
  <c r="F458" i="4" s="1"/>
  <c r="F457" i="4" s="1"/>
  <c r="J636" i="4"/>
  <c r="K636" i="4"/>
  <c r="H636" i="4"/>
  <c r="I179" i="4"/>
  <c r="I48" i="4"/>
  <c r="H667" i="4"/>
  <c r="H664" i="4"/>
  <c r="H663" i="4" s="1"/>
  <c r="H660" i="4"/>
  <c r="H658" i="4"/>
  <c r="H655" i="4"/>
  <c r="H648" i="4"/>
  <c r="H643" i="4"/>
  <c r="H633" i="4"/>
  <c r="H629" i="4"/>
  <c r="H626" i="4"/>
  <c r="H623" i="4"/>
  <c r="H608" i="4"/>
  <c r="H607" i="4" s="1"/>
  <c r="H606" i="4" s="1"/>
  <c r="H601" i="4"/>
  <c r="H600" i="4" s="1"/>
  <c r="H599" i="4" s="1"/>
  <c r="H567" i="4"/>
  <c r="H566" i="4" s="1"/>
  <c r="H565" i="4" s="1"/>
  <c r="H561" i="4"/>
  <c r="H559" i="4"/>
  <c r="H538" i="4"/>
  <c r="H529" i="4"/>
  <c r="H528" i="4" s="1"/>
  <c r="H527" i="4" s="1"/>
  <c r="H526" i="4" s="1"/>
  <c r="H522" i="4"/>
  <c r="H521" i="4" s="1"/>
  <c r="H520" i="4" s="1"/>
  <c r="H505" i="4"/>
  <c r="H504" i="4" s="1"/>
  <c r="H503" i="4" s="1"/>
  <c r="H493" i="4"/>
  <c r="H492" i="4" s="1"/>
  <c r="H491" i="4" s="1"/>
  <c r="H477" i="4"/>
  <c r="H476" i="4" s="1"/>
  <c r="H475" i="4" s="1"/>
  <c r="H471" i="4"/>
  <c r="H470" i="4" s="1"/>
  <c r="H469" i="4" s="1"/>
  <c r="H453" i="4"/>
  <c r="H452" i="4" s="1"/>
  <c r="H451" i="4" s="1"/>
  <c r="H447" i="4"/>
  <c r="H445" i="4"/>
  <c r="H435" i="4"/>
  <c r="H429" i="4"/>
  <c r="H427" i="4"/>
  <c r="H420" i="4"/>
  <c r="H419" i="4" s="1"/>
  <c r="H418" i="4" s="1"/>
  <c r="H403" i="4"/>
  <c r="H402" i="4" s="1"/>
  <c r="H401" i="4" s="1"/>
  <c r="H397" i="4"/>
  <c r="H396" i="4" s="1"/>
  <c r="H395" i="4" s="1"/>
  <c r="H391" i="4"/>
  <c r="H389" i="4" s="1"/>
  <c r="H388" i="4" s="1"/>
  <c r="H387" i="4" s="1"/>
  <c r="H390" i="4"/>
  <c r="H383" i="4"/>
  <c r="H382" i="4" s="1"/>
  <c r="H379" i="4"/>
  <c r="H378" i="4" s="1"/>
  <c r="H373" i="4"/>
  <c r="H371" i="4"/>
  <c r="H365" i="4"/>
  <c r="H364" i="4" s="1"/>
  <c r="H363" i="4" s="1"/>
  <c r="H359" i="4"/>
  <c r="H358" i="4" s="1"/>
  <c r="H357" i="4" s="1"/>
  <c r="H353" i="4"/>
  <c r="H352" i="4" s="1"/>
  <c r="H351" i="4" s="1"/>
  <c r="H347" i="4"/>
  <c r="H346" i="4" s="1"/>
  <c r="H345" i="4" s="1"/>
  <c r="H341" i="4"/>
  <c r="H340" i="4" s="1"/>
  <c r="H339" i="4" s="1"/>
  <c r="H335" i="4"/>
  <c r="H334" i="4" s="1"/>
  <c r="H333" i="4" s="1"/>
  <c r="H329" i="4"/>
  <c r="H328" i="4" s="1"/>
  <c r="H325" i="4"/>
  <c r="H324" i="4" s="1"/>
  <c r="H319" i="4"/>
  <c r="H317" i="4"/>
  <c r="H310" i="4"/>
  <c r="H309" i="4" s="1"/>
  <c r="H308" i="4" s="1"/>
  <c r="H304" i="4"/>
  <c r="H303" i="4" s="1"/>
  <c r="H302" i="4" s="1"/>
  <c r="H297" i="4"/>
  <c r="H296" i="4" s="1"/>
  <c r="H295" i="4" s="1"/>
  <c r="H291" i="4"/>
  <c r="H290" i="4" s="1"/>
  <c r="H289" i="4" s="1"/>
  <c r="H284" i="4"/>
  <c r="H282" i="4"/>
  <c r="H274" i="4"/>
  <c r="H271" i="4"/>
  <c r="H265" i="4"/>
  <c r="H264" i="4" s="1"/>
  <c r="H263" i="4" s="1"/>
  <c r="H258" i="4"/>
  <c r="H257" i="4" s="1"/>
  <c r="H256" i="4" s="1"/>
  <c r="H253" i="4" s="1"/>
  <c r="H250" i="4"/>
  <c r="H249" i="4" s="1"/>
  <c r="H248" i="4" s="1"/>
  <c r="H243" i="4"/>
  <c r="H242" i="4" s="1"/>
  <c r="H241" i="4" s="1"/>
  <c r="H237" i="4"/>
  <c r="H236" i="4" s="1"/>
  <c r="H235" i="4" s="1"/>
  <c r="H231" i="4"/>
  <c r="H230" i="4" s="1"/>
  <c r="H229" i="4" s="1"/>
  <c r="H225" i="4"/>
  <c r="H224" i="4" s="1"/>
  <c r="H223" i="4" s="1"/>
  <c r="H218" i="4"/>
  <c r="H216" i="4"/>
  <c r="H212" i="4"/>
  <c r="H211" i="4" s="1"/>
  <c r="H210" i="4" s="1"/>
  <c r="H205" i="4"/>
  <c r="H204" i="4" s="1"/>
  <c r="H203" i="4" s="1"/>
  <c r="H200" i="4" s="1"/>
  <c r="H198" i="4"/>
  <c r="H197" i="4" s="1"/>
  <c r="H196" i="4" s="1"/>
  <c r="H192" i="4"/>
  <c r="H191" i="4" s="1"/>
  <c r="H190" i="4" s="1"/>
  <c r="H179" i="4"/>
  <c r="H178" i="4" s="1"/>
  <c r="H177" i="4" s="1"/>
  <c r="H171" i="4"/>
  <c r="H170" i="4" s="1"/>
  <c r="H169" i="4" s="1"/>
  <c r="H163" i="4"/>
  <c r="H162" i="4" s="1"/>
  <c r="H161" i="4" s="1"/>
  <c r="H158" i="4" s="1"/>
  <c r="H146" i="4"/>
  <c r="H145" i="4" s="1"/>
  <c r="H144" i="4" s="1"/>
  <c r="H141" i="4" s="1"/>
  <c r="H138" i="4"/>
  <c r="H137" i="4" s="1"/>
  <c r="H136" i="4" s="1"/>
  <c r="H133" i="4" s="1"/>
  <c r="H131" i="4"/>
  <c r="H130" i="4" s="1"/>
  <c r="H129" i="4" s="1"/>
  <c r="H126" i="4" s="1"/>
  <c r="H124" i="4"/>
  <c r="H123" i="4" s="1"/>
  <c r="H122" i="4" s="1"/>
  <c r="H118" i="4"/>
  <c r="H117" i="4" s="1"/>
  <c r="H116" i="4" s="1"/>
  <c r="H111" i="4"/>
  <c r="H110" i="4" s="1"/>
  <c r="H108" i="4"/>
  <c r="H106" i="4"/>
  <c r="H104" i="4"/>
  <c r="H95" i="4"/>
  <c r="H94" i="4" s="1"/>
  <c r="H93" i="4" s="1"/>
  <c r="H90" i="4" s="1"/>
  <c r="H88" i="4"/>
  <c r="H87" i="4" s="1"/>
  <c r="H86" i="4" s="1"/>
  <c r="H82" i="4"/>
  <c r="H81" i="4" s="1"/>
  <c r="H80" i="4" s="1"/>
  <c r="H74" i="4"/>
  <c r="H73" i="4" s="1"/>
  <c r="H62" i="4"/>
  <c r="H61" i="4" s="1"/>
  <c r="H60" i="4" s="1"/>
  <c r="H54" i="4"/>
  <c r="H53" i="4" s="1"/>
  <c r="H48" i="4"/>
  <c r="H46" i="4"/>
  <c r="H37" i="4"/>
  <c r="H30" i="4"/>
  <c r="H21" i="4"/>
  <c r="H20" i="4" s="1"/>
  <c r="H18" i="4"/>
  <c r="H16" i="4"/>
  <c r="H14" i="4"/>
  <c r="I511" i="4" l="1"/>
  <c r="M511" i="4" s="1"/>
  <c r="H596" i="4"/>
  <c r="K482" i="4"/>
  <c r="K481" i="4" s="1"/>
  <c r="M465" i="4"/>
  <c r="H408" i="4"/>
  <c r="I408" i="4"/>
  <c r="I510" i="4"/>
  <c r="J464" i="4"/>
  <c r="J463" i="4" s="1"/>
  <c r="M461" i="4" s="1"/>
  <c r="N584" i="4"/>
  <c r="I580" i="4"/>
  <c r="M578" i="4" s="1"/>
  <c r="H482" i="4"/>
  <c r="H481" i="4" s="1"/>
  <c r="K580" i="4"/>
  <c r="M584" i="4"/>
  <c r="J482" i="4"/>
  <c r="J481" i="4" s="1"/>
  <c r="M582" i="4"/>
  <c r="M486" i="4"/>
  <c r="N486" i="4"/>
  <c r="I482" i="4"/>
  <c r="I481" i="4" s="1"/>
  <c r="M515" i="4"/>
  <c r="M483" i="4"/>
  <c r="N483" i="4"/>
  <c r="N515" i="4"/>
  <c r="N438" i="4"/>
  <c r="M438" i="4"/>
  <c r="H407" i="4"/>
  <c r="H270" i="4"/>
  <c r="H269" i="4" s="1"/>
  <c r="H260" i="4" s="1"/>
  <c r="H434" i="4"/>
  <c r="H433" i="4" s="1"/>
  <c r="H323" i="4"/>
  <c r="H558" i="4"/>
  <c r="H557" i="4" s="1"/>
  <c r="H550" i="4" s="1"/>
  <c r="H72" i="4"/>
  <c r="H68" i="4" s="1"/>
  <c r="J510" i="4"/>
  <c r="M508" i="4" s="1"/>
  <c r="N511" i="4"/>
  <c r="K510" i="4"/>
  <c r="N512" i="4"/>
  <c r="M459" i="4"/>
  <c r="M512" i="4"/>
  <c r="H103" i="4"/>
  <c r="H102" i="4" s="1"/>
  <c r="H99" i="4" s="1"/>
  <c r="H281" i="4"/>
  <c r="H280" i="4" s="1"/>
  <c r="H277" i="4" s="1"/>
  <c r="H316" i="4"/>
  <c r="H315" i="4" s="1"/>
  <c r="H654" i="4"/>
  <c r="H653" i="4" s="1"/>
  <c r="H650" i="4" s="1"/>
  <c r="J458" i="4"/>
  <c r="J457" i="4" s="1"/>
  <c r="M455" i="4" s="1"/>
  <c r="H632" i="4"/>
  <c r="H286" i="4"/>
  <c r="H13" i="4"/>
  <c r="H12" i="4" s="1"/>
  <c r="H29" i="4"/>
  <c r="H28" i="4" s="1"/>
  <c r="H207" i="4"/>
  <c r="H426" i="4"/>
  <c r="H425" i="4" s="1"/>
  <c r="H444" i="4"/>
  <c r="H443" i="4" s="1"/>
  <c r="H622" i="4"/>
  <c r="H642" i="4"/>
  <c r="H641" i="4" s="1"/>
  <c r="H220" i="4"/>
  <c r="H165" i="4"/>
  <c r="H370" i="4"/>
  <c r="H369" i="4" s="1"/>
  <c r="H534" i="4"/>
  <c r="H299" i="4"/>
  <c r="H377" i="4"/>
  <c r="H113" i="4"/>
  <c r="M42" i="4"/>
  <c r="O148" i="1"/>
  <c r="J124" i="4"/>
  <c r="K124" i="4"/>
  <c r="I124" i="4"/>
  <c r="O155" i="1"/>
  <c r="O125" i="1"/>
  <c r="O128" i="1"/>
  <c r="O195" i="1"/>
  <c r="I493" i="4"/>
  <c r="I492" i="4" s="1"/>
  <c r="R184" i="1"/>
  <c r="Q184" i="1"/>
  <c r="O184" i="1"/>
  <c r="J522" i="4"/>
  <c r="K522" i="4"/>
  <c r="M495" i="4"/>
  <c r="O192" i="1"/>
  <c r="M659" i="4"/>
  <c r="M661" i="4"/>
  <c r="N649" i="4"/>
  <c r="N647" i="4"/>
  <c r="N646" i="4"/>
  <c r="M646" i="4"/>
  <c r="M647" i="4"/>
  <c r="M649" i="4"/>
  <c r="J643" i="4"/>
  <c r="K643" i="4"/>
  <c r="J648" i="4"/>
  <c r="K648" i="4"/>
  <c r="I648" i="4"/>
  <c r="I643" i="4"/>
  <c r="N645" i="4"/>
  <c r="M645" i="4"/>
  <c r="L644" i="4"/>
  <c r="G645" i="4"/>
  <c r="M627" i="4"/>
  <c r="M628" i="4"/>
  <c r="O113" i="1"/>
  <c r="J633" i="4"/>
  <c r="J632" i="4" s="1"/>
  <c r="K633" i="4"/>
  <c r="K632" i="4" s="1"/>
  <c r="I633" i="4"/>
  <c r="I632" i="4" s="1"/>
  <c r="N635" i="4"/>
  <c r="M635" i="4"/>
  <c r="L634" i="4"/>
  <c r="G635" i="4"/>
  <c r="O106" i="1"/>
  <c r="J629" i="4"/>
  <c r="K629" i="4"/>
  <c r="I629" i="4"/>
  <c r="N631" i="4"/>
  <c r="M631" i="4"/>
  <c r="L630" i="4"/>
  <c r="G631" i="4"/>
  <c r="J626" i="4"/>
  <c r="K626" i="4"/>
  <c r="I626" i="4"/>
  <c r="O104" i="1"/>
  <c r="N628" i="4"/>
  <c r="L627" i="4"/>
  <c r="G628" i="4"/>
  <c r="J623" i="4"/>
  <c r="K623" i="4"/>
  <c r="I623" i="4"/>
  <c r="O112" i="1"/>
  <c r="N625" i="4"/>
  <c r="M625" i="4"/>
  <c r="L624" i="4"/>
  <c r="G625" i="4"/>
  <c r="I447" i="4"/>
  <c r="N478" i="4"/>
  <c r="M478" i="4"/>
  <c r="L478" i="4"/>
  <c r="L477" i="4" s="1"/>
  <c r="L476" i="4" s="1"/>
  <c r="L475" i="4" s="1"/>
  <c r="G478" i="4"/>
  <c r="G477" i="4" s="1"/>
  <c r="G476" i="4" s="1"/>
  <c r="G475" i="4" s="1"/>
  <c r="K477" i="4"/>
  <c r="K476" i="4" s="1"/>
  <c r="K475" i="4" s="1"/>
  <c r="J477" i="4"/>
  <c r="I477" i="4"/>
  <c r="I476" i="4" s="1"/>
  <c r="I475" i="4" s="1"/>
  <c r="F477" i="4"/>
  <c r="F476" i="4" s="1"/>
  <c r="F475" i="4" s="1"/>
  <c r="J566" i="4"/>
  <c r="K566" i="4"/>
  <c r="J561" i="4"/>
  <c r="K561" i="4"/>
  <c r="I561" i="4"/>
  <c r="I379" i="4"/>
  <c r="J379" i="4"/>
  <c r="J378" i="4" s="1"/>
  <c r="L381" i="4"/>
  <c r="K381" i="4"/>
  <c r="G381" i="4"/>
  <c r="F381" i="4"/>
  <c r="L607" i="4"/>
  <c r="L606" i="4" s="1"/>
  <c r="L605" i="4" s="1"/>
  <c r="K608" i="4"/>
  <c r="K607" i="4" s="1"/>
  <c r="K606" i="4" s="1"/>
  <c r="J608" i="4"/>
  <c r="J607" i="4" s="1"/>
  <c r="J606" i="4" s="1"/>
  <c r="I608" i="4"/>
  <c r="I607" i="4" s="1"/>
  <c r="I606" i="4" s="1"/>
  <c r="G608" i="4"/>
  <c r="G607" i="4" s="1"/>
  <c r="G606" i="4" s="1"/>
  <c r="F608" i="4"/>
  <c r="F607" i="4" s="1"/>
  <c r="F606" i="4" s="1"/>
  <c r="H312" i="4" l="1"/>
  <c r="H533" i="4"/>
  <c r="H440" i="4" s="1"/>
  <c r="N482" i="4"/>
  <c r="M464" i="4"/>
  <c r="M581" i="4"/>
  <c r="M482" i="4"/>
  <c r="M479" i="4"/>
  <c r="N479" i="4"/>
  <c r="H392" i="4"/>
  <c r="N508" i="4"/>
  <c r="H621" i="4"/>
  <c r="H618" i="4" s="1"/>
  <c r="M458" i="4"/>
  <c r="H9" i="4"/>
  <c r="N648" i="4"/>
  <c r="M648" i="4"/>
  <c r="M626" i="4"/>
  <c r="I622" i="4"/>
  <c r="J622" i="4"/>
  <c r="K622" i="4"/>
  <c r="M477" i="4"/>
  <c r="N477" i="4"/>
  <c r="J476" i="4"/>
  <c r="N476" i="4" s="1"/>
  <c r="N561" i="4"/>
  <c r="M561" i="4"/>
  <c r="L600" i="4"/>
  <c r="L599" i="4" s="1"/>
  <c r="L598" i="4" s="1"/>
  <c r="L595" i="4" s="1"/>
  <c r="K601" i="4"/>
  <c r="K600" i="4" s="1"/>
  <c r="K599" i="4" s="1"/>
  <c r="K596" i="4" s="1"/>
  <c r="J601" i="4"/>
  <c r="J600" i="4" s="1"/>
  <c r="J599" i="4" s="1"/>
  <c r="J596" i="4" s="1"/>
  <c r="I601" i="4"/>
  <c r="I600" i="4" s="1"/>
  <c r="I599" i="4" s="1"/>
  <c r="I596" i="4" s="1"/>
  <c r="G601" i="4"/>
  <c r="G600" i="4" s="1"/>
  <c r="G599" i="4" s="1"/>
  <c r="G596" i="4" s="1"/>
  <c r="F601" i="4"/>
  <c r="F600" i="4" s="1"/>
  <c r="F599" i="4" s="1"/>
  <c r="F596" i="4" s="1"/>
  <c r="I567" i="4"/>
  <c r="I566" i="4" s="1"/>
  <c r="M568" i="4"/>
  <c r="L568" i="4"/>
  <c r="G568" i="4"/>
  <c r="O111" i="1"/>
  <c r="J664" i="4"/>
  <c r="J663" i="4" s="1"/>
  <c r="K664" i="4"/>
  <c r="K663" i="4" s="1"/>
  <c r="I667" i="4"/>
  <c r="N666" i="4"/>
  <c r="L665" i="4"/>
  <c r="G666" i="4"/>
  <c r="J660" i="4"/>
  <c r="K660" i="4"/>
  <c r="N662" i="4"/>
  <c r="M662" i="4"/>
  <c r="L661" i="4"/>
  <c r="G662" i="4"/>
  <c r="J655" i="4"/>
  <c r="K655" i="4"/>
  <c r="I655" i="4"/>
  <c r="N657" i="4"/>
  <c r="M657" i="4"/>
  <c r="L656" i="4"/>
  <c r="G657" i="4"/>
  <c r="I505" i="4"/>
  <c r="N507" i="4"/>
  <c r="M507" i="4"/>
  <c r="L507" i="4"/>
  <c r="G507" i="4"/>
  <c r="N412" i="4"/>
  <c r="L412" i="4"/>
  <c r="G412" i="4"/>
  <c r="J389" i="4"/>
  <c r="N390" i="4"/>
  <c r="L390" i="4"/>
  <c r="G390" i="4"/>
  <c r="J642" i="4"/>
  <c r="J641" i="4" s="1"/>
  <c r="K642" i="4"/>
  <c r="O171" i="1"/>
  <c r="I18" i="4"/>
  <c r="K576" i="4"/>
  <c r="K574" i="4"/>
  <c r="J565" i="4"/>
  <c r="K565" i="4"/>
  <c r="K538" i="4"/>
  <c r="K534" i="4" s="1"/>
  <c r="K533" i="4" s="1"/>
  <c r="J528" i="4"/>
  <c r="J527" i="4" s="1"/>
  <c r="J526" i="4" s="1"/>
  <c r="K528" i="4"/>
  <c r="K527" i="4" s="1"/>
  <c r="K526" i="4" s="1"/>
  <c r="J521" i="4"/>
  <c r="J520" i="4" s="1"/>
  <c r="K521" i="4"/>
  <c r="K520" i="4" s="1"/>
  <c r="J505" i="4"/>
  <c r="J504" i="4" s="1"/>
  <c r="J503" i="4" s="1"/>
  <c r="K505" i="4"/>
  <c r="K504" i="4" s="1"/>
  <c r="K503" i="4" s="1"/>
  <c r="J491" i="4"/>
  <c r="K491" i="4"/>
  <c r="J471" i="4"/>
  <c r="J470" i="4" s="1"/>
  <c r="J469" i="4" s="1"/>
  <c r="K471" i="4"/>
  <c r="K470" i="4" s="1"/>
  <c r="K469" i="4" s="1"/>
  <c r="J447" i="4"/>
  <c r="K447" i="4"/>
  <c r="J445" i="4"/>
  <c r="K445" i="4"/>
  <c r="J429" i="4"/>
  <c r="K429" i="4"/>
  <c r="J427" i="4"/>
  <c r="K427" i="4"/>
  <c r="J420" i="4"/>
  <c r="J419" i="4" s="1"/>
  <c r="J418" i="4" s="1"/>
  <c r="K420" i="4"/>
  <c r="K419" i="4" s="1"/>
  <c r="K418" i="4" s="1"/>
  <c r="J403" i="4"/>
  <c r="J402" i="4" s="1"/>
  <c r="J401" i="4" s="1"/>
  <c r="K403" i="4"/>
  <c r="K402" i="4" s="1"/>
  <c r="K401" i="4" s="1"/>
  <c r="J397" i="4"/>
  <c r="J396" i="4" s="1"/>
  <c r="J395" i="4" s="1"/>
  <c r="K397" i="4"/>
  <c r="K396" i="4" s="1"/>
  <c r="K395" i="4" s="1"/>
  <c r="J373" i="4"/>
  <c r="K373" i="4"/>
  <c r="J371" i="4"/>
  <c r="K371" i="4"/>
  <c r="J365" i="4"/>
  <c r="J364" i="4" s="1"/>
  <c r="J363" i="4" s="1"/>
  <c r="K365" i="4"/>
  <c r="K364" i="4" s="1"/>
  <c r="K363" i="4" s="1"/>
  <c r="J359" i="4"/>
  <c r="J358" i="4" s="1"/>
  <c r="J357" i="4" s="1"/>
  <c r="K359" i="4"/>
  <c r="K358" i="4" s="1"/>
  <c r="K357" i="4" s="1"/>
  <c r="J353" i="4"/>
  <c r="J352" i="4" s="1"/>
  <c r="J351" i="4" s="1"/>
  <c r="K353" i="4"/>
  <c r="K352" i="4" s="1"/>
  <c r="K351" i="4" s="1"/>
  <c r="J347" i="4"/>
  <c r="J346" i="4" s="1"/>
  <c r="J345" i="4" s="1"/>
  <c r="K347" i="4"/>
  <c r="K346" i="4" s="1"/>
  <c r="K345" i="4" s="1"/>
  <c r="J341" i="4"/>
  <c r="J340" i="4" s="1"/>
  <c r="J339" i="4" s="1"/>
  <c r="K341" i="4"/>
  <c r="K340" i="4" s="1"/>
  <c r="K339" i="4" s="1"/>
  <c r="J335" i="4"/>
  <c r="J334" i="4" s="1"/>
  <c r="J333" i="4" s="1"/>
  <c r="K335" i="4"/>
  <c r="K334" i="4" s="1"/>
  <c r="K333" i="4" s="1"/>
  <c r="J325" i="4"/>
  <c r="J324" i="4" s="1"/>
  <c r="K325" i="4"/>
  <c r="K324" i="4" s="1"/>
  <c r="J319" i="4"/>
  <c r="K319" i="4"/>
  <c r="J317" i="4"/>
  <c r="K317" i="4"/>
  <c r="J310" i="4"/>
  <c r="J309" i="4" s="1"/>
  <c r="J308" i="4" s="1"/>
  <c r="K310" i="4"/>
  <c r="K309" i="4" s="1"/>
  <c r="K308" i="4" s="1"/>
  <c r="J304" i="4"/>
  <c r="J303" i="4" s="1"/>
  <c r="J302" i="4" s="1"/>
  <c r="K304" i="4"/>
  <c r="K303" i="4" s="1"/>
  <c r="K302" i="4" s="1"/>
  <c r="J297" i="4"/>
  <c r="J296" i="4" s="1"/>
  <c r="J295" i="4" s="1"/>
  <c r="K297" i="4"/>
  <c r="K296" i="4" s="1"/>
  <c r="K295" i="4" s="1"/>
  <c r="J291" i="4"/>
  <c r="J290" i="4" s="1"/>
  <c r="J289" i="4" s="1"/>
  <c r="K291" i="4"/>
  <c r="K290" i="4" s="1"/>
  <c r="K289" i="4" s="1"/>
  <c r="J284" i="4"/>
  <c r="K284" i="4"/>
  <c r="J282" i="4"/>
  <c r="K282" i="4"/>
  <c r="J274" i="4"/>
  <c r="K274" i="4"/>
  <c r="J271" i="4"/>
  <c r="K271" i="4"/>
  <c r="J265" i="4"/>
  <c r="J264" i="4" s="1"/>
  <c r="J263" i="4" s="1"/>
  <c r="K265" i="4"/>
  <c r="K264" i="4" s="1"/>
  <c r="K263" i="4" s="1"/>
  <c r="J258" i="4"/>
  <c r="J257" i="4" s="1"/>
  <c r="J256" i="4" s="1"/>
  <c r="K258" i="4"/>
  <c r="K257" i="4" s="1"/>
  <c r="K256" i="4" s="1"/>
  <c r="J250" i="4"/>
  <c r="K250" i="4"/>
  <c r="J243" i="4"/>
  <c r="J242" i="4" s="1"/>
  <c r="J241" i="4" s="1"/>
  <c r="K243" i="4"/>
  <c r="K242" i="4" s="1"/>
  <c r="K241" i="4" s="1"/>
  <c r="J237" i="4"/>
  <c r="J236" i="4" s="1"/>
  <c r="J235" i="4" s="1"/>
  <c r="K237" i="4"/>
  <c r="K236" i="4" s="1"/>
  <c r="K235" i="4" s="1"/>
  <c r="J231" i="4"/>
  <c r="J230" i="4" s="1"/>
  <c r="J229" i="4" s="1"/>
  <c r="K231" i="4"/>
  <c r="K230" i="4" s="1"/>
  <c r="K229" i="4" s="1"/>
  <c r="J225" i="4"/>
  <c r="J224" i="4" s="1"/>
  <c r="J223" i="4" s="1"/>
  <c r="K225" i="4"/>
  <c r="K224" i="4" s="1"/>
  <c r="K223" i="4" s="1"/>
  <c r="J218" i="4"/>
  <c r="K218" i="4"/>
  <c r="J216" i="4"/>
  <c r="K216" i="4"/>
  <c r="J212" i="4"/>
  <c r="J211" i="4" s="1"/>
  <c r="J210" i="4" s="1"/>
  <c r="K212" i="4"/>
  <c r="K211" i="4" s="1"/>
  <c r="K210" i="4" s="1"/>
  <c r="J205" i="4"/>
  <c r="J204" i="4" s="1"/>
  <c r="J203" i="4" s="1"/>
  <c r="K205" i="4"/>
  <c r="K204" i="4" s="1"/>
  <c r="K203" i="4" s="1"/>
  <c r="J198" i="4"/>
  <c r="J197" i="4" s="1"/>
  <c r="J196" i="4" s="1"/>
  <c r="K198" i="4"/>
  <c r="K197" i="4" s="1"/>
  <c r="K196" i="4" s="1"/>
  <c r="J192" i="4"/>
  <c r="J191" i="4" s="1"/>
  <c r="J190" i="4" s="1"/>
  <c r="K192" i="4"/>
  <c r="K191" i="4" s="1"/>
  <c r="K190" i="4" s="1"/>
  <c r="J179" i="4"/>
  <c r="J178" i="4" s="1"/>
  <c r="J177" i="4" s="1"/>
  <c r="K179" i="4"/>
  <c r="K178" i="4" s="1"/>
  <c r="K177" i="4" s="1"/>
  <c r="J170" i="4"/>
  <c r="J169" i="4" s="1"/>
  <c r="K170" i="4"/>
  <c r="K169" i="4" s="1"/>
  <c r="J163" i="4"/>
  <c r="K163" i="4"/>
  <c r="K162" i="4" s="1"/>
  <c r="K161" i="4" s="1"/>
  <c r="K158" i="4" s="1"/>
  <c r="J146" i="4"/>
  <c r="J145" i="4" s="1"/>
  <c r="J144" i="4" s="1"/>
  <c r="K146" i="4"/>
  <c r="K145" i="4" s="1"/>
  <c r="K144" i="4" s="1"/>
  <c r="J131" i="4"/>
  <c r="J130" i="4" s="1"/>
  <c r="J129" i="4" s="1"/>
  <c r="K131" i="4"/>
  <c r="K130" i="4" s="1"/>
  <c r="K129" i="4" s="1"/>
  <c r="J123" i="4"/>
  <c r="J122" i="4" s="1"/>
  <c r="K123" i="4"/>
  <c r="K122" i="4" s="1"/>
  <c r="J118" i="4"/>
  <c r="J117" i="4" s="1"/>
  <c r="J116" i="4" s="1"/>
  <c r="K118" i="4"/>
  <c r="K117" i="4" s="1"/>
  <c r="K116" i="4" s="1"/>
  <c r="J95" i="4"/>
  <c r="J94" i="4" s="1"/>
  <c r="J93" i="4" s="1"/>
  <c r="K95" i="4"/>
  <c r="K94" i="4" s="1"/>
  <c r="K93" i="4" s="1"/>
  <c r="J88" i="4"/>
  <c r="J87" i="4" s="1"/>
  <c r="J86" i="4" s="1"/>
  <c r="K88" i="4"/>
  <c r="K87" i="4" s="1"/>
  <c r="K86" i="4" s="1"/>
  <c r="J82" i="4"/>
  <c r="J81" i="4" s="1"/>
  <c r="J80" i="4" s="1"/>
  <c r="K82" i="4"/>
  <c r="K81" i="4" s="1"/>
  <c r="K80" i="4" s="1"/>
  <c r="N76" i="4" s="1"/>
  <c r="J62" i="4"/>
  <c r="J61" i="4" s="1"/>
  <c r="K62" i="4"/>
  <c r="K61" i="4" s="1"/>
  <c r="J54" i="4"/>
  <c r="J53" i="4" s="1"/>
  <c r="K54" i="4"/>
  <c r="K53" i="4" s="1"/>
  <c r="J48" i="4"/>
  <c r="K48" i="4"/>
  <c r="J46" i="4"/>
  <c r="K46" i="4"/>
  <c r="J37" i="4"/>
  <c r="K37" i="4"/>
  <c r="J30" i="4"/>
  <c r="K30" i="4"/>
  <c r="J21" i="4"/>
  <c r="J20" i="4" s="1"/>
  <c r="K21" i="4"/>
  <c r="K20" i="4" s="1"/>
  <c r="J14" i="4"/>
  <c r="K14" i="4"/>
  <c r="I335" i="4"/>
  <c r="I371" i="4"/>
  <c r="I383" i="4"/>
  <c r="I382" i="4" s="1"/>
  <c r="I274" i="4"/>
  <c r="I250" i="4"/>
  <c r="I378" i="4"/>
  <c r="O115" i="1"/>
  <c r="N164" i="4"/>
  <c r="M164" i="4"/>
  <c r="L164" i="4"/>
  <c r="L163" i="4" s="1"/>
  <c r="L162" i="4" s="1"/>
  <c r="L161" i="4" s="1"/>
  <c r="L158" i="4" s="1"/>
  <c r="G164" i="4"/>
  <c r="G163" i="4" s="1"/>
  <c r="G162" i="4" s="1"/>
  <c r="G161" i="4" s="1"/>
  <c r="G158" i="4" s="1"/>
  <c r="I163" i="4"/>
  <c r="I162" i="4" s="1"/>
  <c r="I161" i="4" s="1"/>
  <c r="I158" i="4" s="1"/>
  <c r="F163" i="4"/>
  <c r="F162" i="4" s="1"/>
  <c r="F161" i="4" s="1"/>
  <c r="F158" i="4" s="1"/>
  <c r="I104" i="4"/>
  <c r="I106" i="4"/>
  <c r="I108" i="4"/>
  <c r="I16" i="4"/>
  <c r="N575" i="4"/>
  <c r="N577" i="4"/>
  <c r="M575" i="4"/>
  <c r="M577" i="4"/>
  <c r="J574" i="4"/>
  <c r="J576" i="4"/>
  <c r="M576" i="4" s="1"/>
  <c r="N436" i="4"/>
  <c r="M436" i="4"/>
  <c r="O156" i="1"/>
  <c r="M638" i="4"/>
  <c r="N638" i="4"/>
  <c r="N430" i="4"/>
  <c r="M430" i="4"/>
  <c r="I429" i="4"/>
  <c r="K559" i="4"/>
  <c r="N562" i="4"/>
  <c r="M562" i="4"/>
  <c r="J559" i="4"/>
  <c r="J558" i="4" s="1"/>
  <c r="J557" i="4" s="1"/>
  <c r="I559" i="4"/>
  <c r="N539" i="4"/>
  <c r="M539" i="4"/>
  <c r="M172" i="4"/>
  <c r="N174" i="4"/>
  <c r="M174" i="4"/>
  <c r="S29" i="1"/>
  <c r="T92" i="1"/>
  <c r="T95" i="1"/>
  <c r="T107" i="1"/>
  <c r="T98" i="1"/>
  <c r="S79" i="1"/>
  <c r="S81" i="1"/>
  <c r="S83" i="1"/>
  <c r="S84" i="1"/>
  <c r="S87" i="1"/>
  <c r="S88" i="1"/>
  <c r="S89" i="1"/>
  <c r="S98" i="1"/>
  <c r="S95" i="1"/>
  <c r="S92" i="1"/>
  <c r="T79" i="1"/>
  <c r="T81" i="1"/>
  <c r="T83" i="1"/>
  <c r="T84" i="1"/>
  <c r="T87" i="1"/>
  <c r="T88" i="1"/>
  <c r="T89" i="1"/>
  <c r="T68" i="1"/>
  <c r="T69" i="1"/>
  <c r="T71" i="1"/>
  <c r="T72" i="1"/>
  <c r="T73" i="1"/>
  <c r="T74" i="1"/>
  <c r="T75" i="1"/>
  <c r="T76" i="1"/>
  <c r="S68" i="1"/>
  <c r="S69" i="1"/>
  <c r="S71" i="1"/>
  <c r="S72" i="1"/>
  <c r="S73" i="1"/>
  <c r="S74" i="1"/>
  <c r="S75" i="1"/>
  <c r="S76" i="1"/>
  <c r="T59" i="1"/>
  <c r="T60" i="1"/>
  <c r="T62" i="1"/>
  <c r="T64" i="1"/>
  <c r="S59" i="1"/>
  <c r="S62" i="1"/>
  <c r="T41" i="1"/>
  <c r="T42" i="1"/>
  <c r="T43" i="1"/>
  <c r="T44" i="1"/>
  <c r="T45" i="1"/>
  <c r="T46" i="1"/>
  <c r="T47" i="1"/>
  <c r="T50" i="1"/>
  <c r="T52" i="1"/>
  <c r="T53" i="1"/>
  <c r="S41" i="1"/>
  <c r="S42" i="1"/>
  <c r="S43" i="1"/>
  <c r="S44" i="1"/>
  <c r="S45" i="1"/>
  <c r="S46" i="1"/>
  <c r="S47" i="1"/>
  <c r="S50" i="1"/>
  <c r="S52" i="1"/>
  <c r="S53" i="1"/>
  <c r="N97" i="4"/>
  <c r="N98" i="4"/>
  <c r="N132" i="4"/>
  <c r="N140" i="4"/>
  <c r="N172" i="4"/>
  <c r="N173" i="4"/>
  <c r="N181" i="4"/>
  <c r="N182" i="4"/>
  <c r="N183" i="4"/>
  <c r="N184" i="4"/>
  <c r="N185" i="4"/>
  <c r="N186" i="4"/>
  <c r="N187" i="4"/>
  <c r="N226" i="4"/>
  <c r="N238" i="4"/>
  <c r="N259" i="4"/>
  <c r="N252" i="4"/>
  <c r="N251" i="4"/>
  <c r="N273" i="4"/>
  <c r="N275" i="4"/>
  <c r="N276" i="4"/>
  <c r="N285" i="4"/>
  <c r="N320" i="4"/>
  <c r="N326" i="4"/>
  <c r="N327" i="4"/>
  <c r="N374" i="4"/>
  <c r="N422" i="4"/>
  <c r="N446" i="4"/>
  <c r="N448" i="4"/>
  <c r="N536" i="4"/>
  <c r="N537" i="4"/>
  <c r="N627" i="4"/>
  <c r="N630" i="4"/>
  <c r="N634" i="4"/>
  <c r="N637" i="4"/>
  <c r="N659" i="4"/>
  <c r="N661" i="4"/>
  <c r="N665" i="4"/>
  <c r="N656" i="4"/>
  <c r="N644" i="4"/>
  <c r="N624" i="4"/>
  <c r="N560" i="4"/>
  <c r="N523" i="4"/>
  <c r="N506" i="4"/>
  <c r="N494" i="4"/>
  <c r="N472" i="4"/>
  <c r="N428" i="4"/>
  <c r="N421" i="4"/>
  <c r="N404" i="4"/>
  <c r="N398" i="4"/>
  <c r="N391" i="4"/>
  <c r="N372" i="4"/>
  <c r="N366" i="4"/>
  <c r="N360" i="4"/>
  <c r="N354" i="4"/>
  <c r="N348" i="4"/>
  <c r="N342" i="4"/>
  <c r="N336" i="4"/>
  <c r="N318" i="4"/>
  <c r="N311" i="4"/>
  <c r="N305" i="4"/>
  <c r="N298" i="4"/>
  <c r="N292" i="4"/>
  <c r="N283" i="4"/>
  <c r="N272" i="4"/>
  <c r="N266" i="4"/>
  <c r="N244" i="4"/>
  <c r="N219" i="4"/>
  <c r="N213" i="4"/>
  <c r="N206" i="4"/>
  <c r="N199" i="4"/>
  <c r="N193" i="4"/>
  <c r="N180" i="4"/>
  <c r="N147" i="4"/>
  <c r="N125" i="4"/>
  <c r="N119" i="4"/>
  <c r="N96" i="4"/>
  <c r="N89" i="4"/>
  <c r="N83" i="4"/>
  <c r="N75" i="4"/>
  <c r="N63" i="4"/>
  <c r="N31" i="4"/>
  <c r="M273" i="4"/>
  <c r="M275" i="4"/>
  <c r="M276" i="4"/>
  <c r="M283" i="4"/>
  <c r="M285" i="4"/>
  <c r="M272" i="4"/>
  <c r="M326" i="4"/>
  <c r="M327" i="4"/>
  <c r="M330" i="4"/>
  <c r="M320" i="4"/>
  <c r="M318" i="4"/>
  <c r="M372" i="4"/>
  <c r="M374" i="4"/>
  <c r="M410" i="4"/>
  <c r="M422" i="4"/>
  <c r="M446" i="4"/>
  <c r="M448" i="4"/>
  <c r="M506" i="4"/>
  <c r="M536" i="4"/>
  <c r="M537" i="4"/>
  <c r="M630" i="4"/>
  <c r="M634" i="4"/>
  <c r="M637" i="4"/>
  <c r="M644" i="4"/>
  <c r="M656" i="4"/>
  <c r="M624" i="4"/>
  <c r="M569" i="4"/>
  <c r="M560" i="4"/>
  <c r="M523" i="4"/>
  <c r="M494" i="4"/>
  <c r="M472" i="4"/>
  <c r="M454" i="4"/>
  <c r="M428" i="4"/>
  <c r="M421" i="4"/>
  <c r="M404" i="4"/>
  <c r="M398" i="4"/>
  <c r="M366" i="4"/>
  <c r="M360" i="4"/>
  <c r="M354" i="4"/>
  <c r="M348" i="4"/>
  <c r="M342" i="4"/>
  <c r="M336" i="4"/>
  <c r="M311" i="4"/>
  <c r="M305" i="4"/>
  <c r="M298" i="4"/>
  <c r="M292" i="4"/>
  <c r="M266" i="4"/>
  <c r="M244" i="4"/>
  <c r="M259" i="4"/>
  <c r="M252" i="4"/>
  <c r="M251" i="4"/>
  <c r="M238" i="4"/>
  <c r="M226" i="4"/>
  <c r="M219" i="4"/>
  <c r="M213" i="4"/>
  <c r="M206" i="4"/>
  <c r="M199" i="4"/>
  <c r="M193" i="4"/>
  <c r="M180" i="4"/>
  <c r="M181" i="4"/>
  <c r="M182" i="4"/>
  <c r="M183" i="4"/>
  <c r="M184" i="4"/>
  <c r="M185" i="4"/>
  <c r="M186" i="4"/>
  <c r="M187" i="4"/>
  <c r="M173" i="4"/>
  <c r="M147" i="4"/>
  <c r="M140" i="4"/>
  <c r="M132" i="4"/>
  <c r="M125" i="4"/>
  <c r="M119" i="4"/>
  <c r="M96" i="4"/>
  <c r="M97" i="4"/>
  <c r="M98" i="4"/>
  <c r="M89" i="4"/>
  <c r="M83" i="4"/>
  <c r="M75" i="4"/>
  <c r="M63" i="4"/>
  <c r="M64" i="4"/>
  <c r="M65" i="4"/>
  <c r="M66" i="4"/>
  <c r="M67" i="4"/>
  <c r="M55" i="4"/>
  <c r="N64" i="4"/>
  <c r="N65" i="4"/>
  <c r="N66" i="4"/>
  <c r="N67" i="4"/>
  <c r="N32" i="4"/>
  <c r="N34" i="4"/>
  <c r="N35" i="4"/>
  <c r="N36" i="4"/>
  <c r="N38" i="4"/>
  <c r="N39" i="4"/>
  <c r="N40" i="4"/>
  <c r="N41" i="4"/>
  <c r="N42" i="4"/>
  <c r="N43" i="4"/>
  <c r="N44" i="4"/>
  <c r="N45" i="4"/>
  <c r="N47" i="4"/>
  <c r="N49" i="4"/>
  <c r="N50" i="4"/>
  <c r="N51" i="4"/>
  <c r="N52" i="4"/>
  <c r="N55" i="4"/>
  <c r="N56" i="4"/>
  <c r="N57" i="4"/>
  <c r="M56" i="4"/>
  <c r="M31" i="4"/>
  <c r="M32" i="4"/>
  <c r="M34" i="4"/>
  <c r="M35" i="4"/>
  <c r="M36" i="4"/>
  <c r="M38" i="4"/>
  <c r="M39" i="4"/>
  <c r="M40" i="4"/>
  <c r="M41" i="4"/>
  <c r="M43" i="4"/>
  <c r="M44" i="4"/>
  <c r="M45" i="4"/>
  <c r="M47" i="4"/>
  <c r="M49" i="4"/>
  <c r="M50" i="4"/>
  <c r="M51" i="4"/>
  <c r="M52" i="4"/>
  <c r="M57" i="4"/>
  <c r="N15" i="4"/>
  <c r="N17" i="4"/>
  <c r="N19" i="4"/>
  <c r="N22" i="4"/>
  <c r="N23" i="4"/>
  <c r="N24" i="4"/>
  <c r="N25" i="4"/>
  <c r="M15" i="4"/>
  <c r="M17" i="4"/>
  <c r="M19" i="4"/>
  <c r="M22" i="4"/>
  <c r="M23" i="4"/>
  <c r="M24" i="4"/>
  <c r="M25" i="4"/>
  <c r="L569" i="4"/>
  <c r="L567" i="4" s="1"/>
  <c r="L566" i="4" s="1"/>
  <c r="L565" i="4" s="1"/>
  <c r="G569" i="4"/>
  <c r="G567" i="4" s="1"/>
  <c r="G566" i="4" s="1"/>
  <c r="G565" i="4" s="1"/>
  <c r="F567" i="4"/>
  <c r="F566" i="4" s="1"/>
  <c r="F565" i="4" s="1"/>
  <c r="P195" i="1" l="1"/>
  <c r="J370" i="4"/>
  <c r="J369" i="4" s="1"/>
  <c r="L593" i="4"/>
  <c r="L584" i="4" s="1"/>
  <c r="F593" i="4"/>
  <c r="F584" i="4" s="1"/>
  <c r="G593" i="4"/>
  <c r="G584" i="4" s="1"/>
  <c r="N414" i="4"/>
  <c r="H669" i="4"/>
  <c r="H8" i="4" s="1"/>
  <c r="H7" i="4" s="1"/>
  <c r="J434" i="4"/>
  <c r="J433" i="4" s="1"/>
  <c r="M660" i="4"/>
  <c r="I565" i="4"/>
  <c r="M476" i="4"/>
  <c r="J475" i="4"/>
  <c r="S111" i="1"/>
  <c r="M666" i="4"/>
  <c r="J654" i="4"/>
  <c r="J653" i="4" s="1"/>
  <c r="J426" i="4"/>
  <c r="J425" i="4" s="1"/>
  <c r="K654" i="4"/>
  <c r="K653" i="4" s="1"/>
  <c r="J13" i="4"/>
  <c r="J249" i="4"/>
  <c r="J248" i="4" s="1"/>
  <c r="J281" i="4"/>
  <c r="J280" i="4" s="1"/>
  <c r="J444" i="4"/>
  <c r="J443" i="4" s="1"/>
  <c r="K573" i="4"/>
  <c r="K572" i="4" s="1"/>
  <c r="N46" i="4"/>
  <c r="J316" i="4"/>
  <c r="J315" i="4" s="1"/>
  <c r="K426" i="4"/>
  <c r="K425" i="4" s="1"/>
  <c r="N16" i="4"/>
  <c r="K249" i="4"/>
  <c r="K248" i="4" s="1"/>
  <c r="J162" i="4"/>
  <c r="J161" i="4" s="1"/>
  <c r="N163" i="4"/>
  <c r="M16" i="4"/>
  <c r="N18" i="4"/>
  <c r="K434" i="4"/>
  <c r="K433" i="4" s="1"/>
  <c r="Q114" i="1"/>
  <c r="K370" i="4"/>
  <c r="K369" i="4" s="1"/>
  <c r="K444" i="4"/>
  <c r="K443" i="4" s="1"/>
  <c r="J621" i="4"/>
  <c r="J618" i="4" s="1"/>
  <c r="J270" i="4"/>
  <c r="J269" i="4" s="1"/>
  <c r="Q109" i="1"/>
  <c r="R114" i="1"/>
  <c r="R109" i="1"/>
  <c r="K641" i="4"/>
  <c r="K316" i="4"/>
  <c r="K315" i="4" s="1"/>
  <c r="K281" i="4"/>
  <c r="K280" i="4" s="1"/>
  <c r="K270" i="4"/>
  <c r="K269" i="4" s="1"/>
  <c r="K13" i="4"/>
  <c r="N14" i="4"/>
  <c r="M163" i="4"/>
  <c r="I103" i="4"/>
  <c r="N574" i="4"/>
  <c r="M574" i="4"/>
  <c r="J573" i="4"/>
  <c r="J572" i="4" s="1"/>
  <c r="N576" i="4"/>
  <c r="M435" i="4"/>
  <c r="N435" i="4"/>
  <c r="I434" i="4"/>
  <c r="I433" i="4" s="1"/>
  <c r="M429" i="4"/>
  <c r="N429" i="4"/>
  <c r="I558" i="4"/>
  <c r="I557" i="4" s="1"/>
  <c r="K558" i="4"/>
  <c r="K557" i="4" s="1"/>
  <c r="M538" i="4"/>
  <c r="N538" i="4"/>
  <c r="I377" i="4"/>
  <c r="T56" i="1"/>
  <c r="S56" i="1"/>
  <c r="M567" i="4"/>
  <c r="L529" i="4"/>
  <c r="I171" i="4"/>
  <c r="I170" i="4" s="1"/>
  <c r="I169" i="4" s="1"/>
  <c r="F177" i="4"/>
  <c r="P29" i="1"/>
  <c r="J392" i="4" l="1"/>
  <c r="K392" i="4"/>
  <c r="M473" i="4"/>
  <c r="N473" i="4"/>
  <c r="M665" i="4"/>
  <c r="K621" i="4"/>
  <c r="K618" i="4" s="1"/>
  <c r="M162" i="4"/>
  <c r="N162" i="4"/>
  <c r="M573" i="4"/>
  <c r="N573" i="4"/>
  <c r="N434" i="4"/>
  <c r="N433" i="4"/>
  <c r="M433" i="4"/>
  <c r="M434" i="4"/>
  <c r="M566" i="4"/>
  <c r="N171" i="4"/>
  <c r="M171" i="4"/>
  <c r="N179" i="4"/>
  <c r="M179" i="4"/>
  <c r="M563" i="4"/>
  <c r="M159" i="4" l="1"/>
  <c r="J158" i="4"/>
  <c r="N159" i="4"/>
  <c r="N572" i="4"/>
  <c r="M572" i="4"/>
  <c r="T57" i="1"/>
  <c r="S57" i="1"/>
  <c r="N178" i="4"/>
  <c r="L666" i="4"/>
  <c r="L664" i="4"/>
  <c r="L663" i="4" s="1"/>
  <c r="L662" i="4" s="1"/>
  <c r="L660" i="4"/>
  <c r="L659" i="4" s="1"/>
  <c r="L657" i="4"/>
  <c r="L655" i="4"/>
  <c r="L654" i="4" s="1"/>
  <c r="L648" i="4"/>
  <c r="L647" i="4" s="1"/>
  <c r="L643" i="4"/>
  <c r="L642" i="4" s="1"/>
  <c r="L636" i="4"/>
  <c r="L635" i="4" s="1"/>
  <c r="L633" i="4"/>
  <c r="L632" i="4" s="1"/>
  <c r="L629" i="4"/>
  <c r="L628" i="4" s="1"/>
  <c r="L626" i="4"/>
  <c r="L625" i="4" s="1"/>
  <c r="L623" i="4"/>
  <c r="L622" i="4" s="1"/>
  <c r="L560" i="4"/>
  <c r="L559" i="4" s="1"/>
  <c r="L558" i="4" s="1"/>
  <c r="L557" i="4" s="1"/>
  <c r="L537" i="4"/>
  <c r="L535" i="4" s="1"/>
  <c r="L534" i="4" s="1"/>
  <c r="L533" i="4" s="1"/>
  <c r="L523" i="4"/>
  <c r="L522" i="4" s="1"/>
  <c r="L521" i="4" s="1"/>
  <c r="L520" i="4" s="1"/>
  <c r="L515" i="4" s="1"/>
  <c r="L506" i="4"/>
  <c r="L505" i="4" s="1"/>
  <c r="L504" i="4" s="1"/>
  <c r="L494" i="4"/>
  <c r="L493" i="4" s="1"/>
  <c r="L492" i="4" s="1"/>
  <c r="L491" i="4" s="1"/>
  <c r="L486" i="4" s="1"/>
  <c r="L472" i="4"/>
  <c r="L471" i="4" s="1"/>
  <c r="L470" i="4" s="1"/>
  <c r="L469" i="4" s="1"/>
  <c r="L454" i="4"/>
  <c r="L453" i="4" s="1"/>
  <c r="L452" i="4" s="1"/>
  <c r="L451" i="4" s="1"/>
  <c r="L448" i="4"/>
  <c r="L447" i="4" s="1"/>
  <c r="L446" i="4"/>
  <c r="L445" i="4" s="1"/>
  <c r="L428" i="4"/>
  <c r="L427" i="4" s="1"/>
  <c r="L426" i="4" s="1"/>
  <c r="L425" i="4" s="1"/>
  <c r="L422" i="4"/>
  <c r="L421" i="4"/>
  <c r="L410" i="4"/>
  <c r="L404" i="4"/>
  <c r="L403" i="4" s="1"/>
  <c r="L402" i="4" s="1"/>
  <c r="L401" i="4" s="1"/>
  <c r="L398" i="4"/>
  <c r="L391" i="4"/>
  <c r="L389" i="4" s="1"/>
  <c r="L388" i="4" s="1"/>
  <c r="L387" i="4" s="1"/>
  <c r="L382" i="4"/>
  <c r="L380" i="4" s="1"/>
  <c r="L378" i="4" s="1"/>
  <c r="L377" i="4" s="1"/>
  <c r="L374" i="4"/>
  <c r="L373" i="4" s="1"/>
  <c r="L372" i="4"/>
  <c r="L371" i="4" s="1"/>
  <c r="L366" i="4"/>
  <c r="L365" i="4" s="1"/>
  <c r="L364" i="4" s="1"/>
  <c r="L363" i="4" s="1"/>
  <c r="L360" i="4"/>
  <c r="L359" i="4" s="1"/>
  <c r="L358" i="4" s="1"/>
  <c r="L357" i="4" s="1"/>
  <c r="L354" i="4"/>
  <c r="L353" i="4" s="1"/>
  <c r="L352" i="4" s="1"/>
  <c r="L351" i="4" s="1"/>
  <c r="L348" i="4"/>
  <c r="L347" i="4" s="1"/>
  <c r="L346" i="4" s="1"/>
  <c r="L345" i="4" s="1"/>
  <c r="L342" i="4"/>
  <c r="L341" i="4" s="1"/>
  <c r="L340" i="4" s="1"/>
  <c r="L339" i="4" s="1"/>
  <c r="L336" i="4"/>
  <c r="L335" i="4" s="1"/>
  <c r="L334" i="4" s="1"/>
  <c r="L333" i="4" s="1"/>
  <c r="L329" i="4"/>
  <c r="L328" i="4" s="1"/>
  <c r="L327" i="4"/>
  <c r="L326" i="4"/>
  <c r="L320" i="4"/>
  <c r="L319" i="4" s="1"/>
  <c r="L318" i="4"/>
  <c r="L317" i="4" s="1"/>
  <c r="L311" i="4"/>
  <c r="L310" i="4" s="1"/>
  <c r="L309" i="4" s="1"/>
  <c r="L308" i="4" s="1"/>
  <c r="L305" i="4"/>
  <c r="L304" i="4" s="1"/>
  <c r="L303" i="4" s="1"/>
  <c r="L302" i="4" s="1"/>
  <c r="L298" i="4"/>
  <c r="L297" i="4" s="1"/>
  <c r="L296" i="4" s="1"/>
  <c r="L295" i="4" s="1"/>
  <c r="L292" i="4"/>
  <c r="L291" i="4" s="1"/>
  <c r="L290" i="4" s="1"/>
  <c r="L289" i="4" s="1"/>
  <c r="L285" i="4"/>
  <c r="L284" i="4" s="1"/>
  <c r="L283" i="4"/>
  <c r="L282" i="4" s="1"/>
  <c r="L276" i="4"/>
  <c r="L275" i="4"/>
  <c r="L273" i="4"/>
  <c r="L272" i="4"/>
  <c r="L266" i="4"/>
  <c r="L265" i="4" s="1"/>
  <c r="L264" i="4" s="1"/>
  <c r="L263" i="4" s="1"/>
  <c r="L259" i="4"/>
  <c r="L258" i="4" s="1"/>
  <c r="L257" i="4" s="1"/>
  <c r="L256" i="4" s="1"/>
  <c r="L253" i="4" s="1"/>
  <c r="L252" i="4"/>
  <c r="L251" i="4"/>
  <c r="L244" i="4"/>
  <c r="L243" i="4" s="1"/>
  <c r="L242" i="4" s="1"/>
  <c r="L241" i="4" s="1"/>
  <c r="L238" i="4"/>
  <c r="L237" i="4" s="1"/>
  <c r="L236" i="4" s="1"/>
  <c r="L235" i="4" s="1"/>
  <c r="L226" i="4"/>
  <c r="L225" i="4" s="1"/>
  <c r="L224" i="4" s="1"/>
  <c r="L219" i="4"/>
  <c r="L213" i="4"/>
  <c r="L212" i="4" s="1"/>
  <c r="L211" i="4" s="1"/>
  <c r="L210" i="4" s="1"/>
  <c r="L206" i="4"/>
  <c r="L205" i="4" s="1"/>
  <c r="L204" i="4" s="1"/>
  <c r="L203" i="4" s="1"/>
  <c r="L200" i="4" s="1"/>
  <c r="L199" i="4"/>
  <c r="L198" i="4" s="1"/>
  <c r="L197" i="4" s="1"/>
  <c r="L196" i="4" s="1"/>
  <c r="L193" i="4"/>
  <c r="L192" i="4" s="1"/>
  <c r="L191" i="4" s="1"/>
  <c r="L190" i="4" s="1"/>
  <c r="L187" i="4"/>
  <c r="L186" i="4"/>
  <c r="L185" i="4"/>
  <c r="L184" i="4"/>
  <c r="L183" i="4"/>
  <c r="L182" i="4"/>
  <c r="L181" i="4"/>
  <c r="L173" i="4"/>
  <c r="L180" i="4"/>
  <c r="L172" i="4"/>
  <c r="L147" i="4"/>
  <c r="L146" i="4" s="1"/>
  <c r="L145" i="4" s="1"/>
  <c r="L144" i="4" s="1"/>
  <c r="L141" i="4" s="1"/>
  <c r="L140" i="4"/>
  <c r="L132" i="4"/>
  <c r="L131" i="4" s="1"/>
  <c r="L130" i="4" s="1"/>
  <c r="L129" i="4" s="1"/>
  <c r="L126" i="4" s="1"/>
  <c r="L125" i="4"/>
  <c r="L119" i="4"/>
  <c r="L118" i="4" s="1"/>
  <c r="L117" i="4" s="1"/>
  <c r="L116" i="4" s="1"/>
  <c r="L98" i="4"/>
  <c r="L97" i="4"/>
  <c r="L96" i="4"/>
  <c r="L89" i="4"/>
  <c r="L88" i="4" s="1"/>
  <c r="L87" i="4" s="1"/>
  <c r="L86" i="4" s="1"/>
  <c r="L83" i="4"/>
  <c r="L82" i="4" s="1"/>
  <c r="L81" i="4" s="1"/>
  <c r="L80" i="4" s="1"/>
  <c r="L76" i="4" s="1"/>
  <c r="L75" i="4"/>
  <c r="L74" i="4" s="1"/>
  <c r="L73" i="4" s="1"/>
  <c r="L72" i="4" s="1"/>
  <c r="L68" i="4" s="1"/>
  <c r="L67" i="4"/>
  <c r="L66" i="4"/>
  <c r="L65" i="4"/>
  <c r="L64" i="4"/>
  <c r="L63" i="4"/>
  <c r="L57" i="4"/>
  <c r="L56" i="4"/>
  <c r="L55" i="4"/>
  <c r="L52" i="4"/>
  <c r="L51" i="4"/>
  <c r="L50" i="4"/>
  <c r="L49" i="4"/>
  <c r="L47" i="4"/>
  <c r="L46" i="4" s="1"/>
  <c r="L45" i="4"/>
  <c r="L44" i="4"/>
  <c r="L43" i="4"/>
  <c r="L42" i="4"/>
  <c r="L41" i="4"/>
  <c r="L40" i="4"/>
  <c r="L39" i="4"/>
  <c r="L38" i="4"/>
  <c r="L35" i="4"/>
  <c r="L34" i="4"/>
  <c r="L32" i="4"/>
  <c r="L31" i="4"/>
  <c r="L25" i="4"/>
  <c r="L24" i="4"/>
  <c r="L23" i="4"/>
  <c r="L22" i="4"/>
  <c r="L19" i="4"/>
  <c r="L18" i="4" s="1"/>
  <c r="L17" i="4"/>
  <c r="L16" i="4" s="1"/>
  <c r="L15" i="4"/>
  <c r="L14" i="4" s="1"/>
  <c r="R221" i="1"/>
  <c r="R214" i="1"/>
  <c r="R212" i="1"/>
  <c r="R209" i="1"/>
  <c r="R208" i="1" s="1"/>
  <c r="R205" i="1"/>
  <c r="R204" i="1" s="1"/>
  <c r="R202" i="1"/>
  <c r="R201" i="1" s="1"/>
  <c r="R196" i="1"/>
  <c r="R170" i="1"/>
  <c r="R168" i="1"/>
  <c r="R165" i="1"/>
  <c r="R163" i="1"/>
  <c r="R139" i="1"/>
  <c r="R103" i="1"/>
  <c r="R101" i="1"/>
  <c r="R97" i="1"/>
  <c r="R96" i="1" s="1"/>
  <c r="R16" i="1" s="1"/>
  <c r="R94" i="1"/>
  <c r="R91" i="1"/>
  <c r="R86" i="1"/>
  <c r="R82" i="1"/>
  <c r="R78" i="1"/>
  <c r="R70" i="1"/>
  <c r="R67" i="1"/>
  <c r="R55" i="1"/>
  <c r="R51" i="1"/>
  <c r="R48" i="1"/>
  <c r="R40" i="1"/>
  <c r="K667" i="4"/>
  <c r="K658" i="4"/>
  <c r="K453" i="4"/>
  <c r="K452" i="4" s="1"/>
  <c r="K451" i="4" s="1"/>
  <c r="K440" i="4" s="1"/>
  <c r="K388" i="4"/>
  <c r="K387" i="4" s="1"/>
  <c r="K380" i="4"/>
  <c r="R195" i="1" s="1"/>
  <c r="K329" i="4"/>
  <c r="K328" i="4" s="1"/>
  <c r="K323" i="4" s="1"/>
  <c r="K253" i="4"/>
  <c r="K200" i="4"/>
  <c r="K141" i="4"/>
  <c r="K126" i="4"/>
  <c r="K90" i="4"/>
  <c r="K74" i="4"/>
  <c r="K73" i="4" s="1"/>
  <c r="K60" i="4"/>
  <c r="R220" i="1" l="1"/>
  <c r="L397" i="4"/>
  <c r="L396" i="4" s="1"/>
  <c r="L395" i="4" s="1"/>
  <c r="L551" i="4"/>
  <c r="L541" i="4" s="1"/>
  <c r="K72" i="4"/>
  <c r="K378" i="4"/>
  <c r="K377" i="4" s="1"/>
  <c r="K312" i="4" s="1"/>
  <c r="K379" i="4"/>
  <c r="M158" i="4"/>
  <c r="N158" i="4"/>
  <c r="L503" i="4"/>
  <c r="L496" i="4" s="1"/>
  <c r="R174" i="1"/>
  <c r="R90" i="1"/>
  <c r="T58" i="1"/>
  <c r="R93" i="1"/>
  <c r="R161" i="1"/>
  <c r="R219" i="1"/>
  <c r="R66" i="1"/>
  <c r="N175" i="4"/>
  <c r="L250" i="4"/>
  <c r="L249" i="4" s="1"/>
  <c r="L248" i="4" s="1"/>
  <c r="L286" i="4"/>
  <c r="L179" i="4"/>
  <c r="L178" i="4" s="1"/>
  <c r="L177" i="4" s="1"/>
  <c r="L171" i="4"/>
  <c r="R200" i="1"/>
  <c r="R23" i="1" s="1"/>
  <c r="R77" i="1"/>
  <c r="R211" i="1"/>
  <c r="R207" i="1" s="1"/>
  <c r="R24" i="1" s="1"/>
  <c r="L631" i="4"/>
  <c r="L420" i="4"/>
  <c r="L419" i="4" s="1"/>
  <c r="L418" i="4" s="1"/>
  <c r="L414" i="4" s="1"/>
  <c r="L409" i="4" s="1"/>
  <c r="L408" i="4" s="1"/>
  <c r="L407" i="4" s="1"/>
  <c r="L281" i="4"/>
  <c r="L280" i="4" s="1"/>
  <c r="L277" i="4" s="1"/>
  <c r="R146" i="1"/>
  <c r="L37" i="4"/>
  <c r="L274" i="4"/>
  <c r="R105" i="1"/>
  <c r="R100" i="1" s="1"/>
  <c r="R129" i="1"/>
  <c r="L13" i="4"/>
  <c r="L30" i="4"/>
  <c r="L621" i="4"/>
  <c r="L218" i="4"/>
  <c r="L217" i="4" s="1"/>
  <c r="L216" i="4" s="1"/>
  <c r="L207" i="4" s="1"/>
  <c r="R181" i="1"/>
  <c r="L124" i="4"/>
  <c r="L123" i="4" s="1"/>
  <c r="L271" i="4"/>
  <c r="L653" i="4"/>
  <c r="L652" i="4" s="1"/>
  <c r="L649" i="4" s="1"/>
  <c r="L21" i="4"/>
  <c r="L20" i="4" s="1"/>
  <c r="L95" i="4"/>
  <c r="L94" i="4" s="1"/>
  <c r="L93" i="4" s="1"/>
  <c r="L90" i="4" s="1"/>
  <c r="L370" i="4"/>
  <c r="L369" i="4" s="1"/>
  <c r="K29" i="4"/>
  <c r="K28" i="4" s="1"/>
  <c r="L48" i="4"/>
  <c r="L62" i="4"/>
  <c r="L61" i="4" s="1"/>
  <c r="L60" i="4" s="1"/>
  <c r="L299" i="4"/>
  <c r="L325" i="4"/>
  <c r="L324" i="4" s="1"/>
  <c r="L323" i="4" s="1"/>
  <c r="L444" i="4"/>
  <c r="L443" i="4" s="1"/>
  <c r="R141" i="1"/>
  <c r="R138" i="1" s="1"/>
  <c r="L54" i="4"/>
  <c r="L53" i="4" s="1"/>
  <c r="R39" i="1"/>
  <c r="L316" i="4"/>
  <c r="L315" i="4" s="1"/>
  <c r="R154" i="1"/>
  <c r="R153" i="1" s="1"/>
  <c r="R54" i="1"/>
  <c r="L641" i="4"/>
  <c r="L640" i="4" s="1"/>
  <c r="K12" i="4"/>
  <c r="K299" i="4"/>
  <c r="J667" i="4"/>
  <c r="M667" i="4" s="1"/>
  <c r="N660" i="4"/>
  <c r="J658" i="4"/>
  <c r="N633" i="4"/>
  <c r="N629" i="4"/>
  <c r="N626" i="4"/>
  <c r="J453" i="4"/>
  <c r="J452" i="4" s="1"/>
  <c r="J451" i="4" s="1"/>
  <c r="J440" i="4" s="1"/>
  <c r="N447" i="4"/>
  <c r="N445" i="4"/>
  <c r="J377" i="4"/>
  <c r="N353" i="4"/>
  <c r="N335" i="4"/>
  <c r="J329" i="4"/>
  <c r="N291" i="4"/>
  <c r="N284" i="4"/>
  <c r="N265" i="4"/>
  <c r="N237" i="4"/>
  <c r="N192" i="4"/>
  <c r="N124" i="4"/>
  <c r="J74" i="4"/>
  <c r="J73" i="4" s="1"/>
  <c r="N48" i="4"/>
  <c r="N37" i="4"/>
  <c r="N30" i="4"/>
  <c r="Q221" i="1"/>
  <c r="Q214" i="1"/>
  <c r="Q212" i="1"/>
  <c r="Q209" i="1"/>
  <c r="Q208" i="1" s="1"/>
  <c r="Q205" i="1"/>
  <c r="Q204" i="1" s="1"/>
  <c r="Q202" i="1"/>
  <c r="Q201" i="1" s="1"/>
  <c r="Q196" i="1"/>
  <c r="T185" i="1"/>
  <c r="Q168" i="1"/>
  <c r="Q165" i="1"/>
  <c r="T162" i="1"/>
  <c r="T148" i="1"/>
  <c r="Q139" i="1"/>
  <c r="T106" i="1"/>
  <c r="T104" i="1"/>
  <c r="T102" i="1"/>
  <c r="Q97" i="1"/>
  <c r="Q94" i="1"/>
  <c r="T94" i="1" s="1"/>
  <c r="Q91" i="1"/>
  <c r="Q90" i="1" s="1"/>
  <c r="Q86" i="1"/>
  <c r="T86" i="1" s="1"/>
  <c r="Q82" i="1"/>
  <c r="T82" i="1" s="1"/>
  <c r="Q78" i="1"/>
  <c r="T78" i="1" s="1"/>
  <c r="Q70" i="1"/>
  <c r="T70" i="1" s="1"/>
  <c r="Q67" i="1"/>
  <c r="T67" i="1" s="1"/>
  <c r="T61" i="1"/>
  <c r="Q55" i="1"/>
  <c r="T55" i="1" s="1"/>
  <c r="Q51" i="1"/>
  <c r="T51" i="1" s="1"/>
  <c r="Q48" i="1"/>
  <c r="T48" i="1" s="1"/>
  <c r="Q40" i="1"/>
  <c r="T40" i="1" s="1"/>
  <c r="P98" i="1"/>
  <c r="P95" i="1"/>
  <c r="P92" i="1"/>
  <c r="P89" i="1"/>
  <c r="P88" i="1"/>
  <c r="P87" i="1"/>
  <c r="P85" i="1"/>
  <c r="P84" i="1"/>
  <c r="P83" i="1"/>
  <c r="P81" i="1"/>
  <c r="P80" i="1"/>
  <c r="P79" i="1"/>
  <c r="P76" i="1"/>
  <c r="P75" i="1"/>
  <c r="P74" i="1"/>
  <c r="P73" i="1"/>
  <c r="P72" i="1"/>
  <c r="P71" i="1"/>
  <c r="P69" i="1"/>
  <c r="P68" i="1"/>
  <c r="P64" i="1"/>
  <c r="P62" i="1"/>
  <c r="P59" i="1"/>
  <c r="P57" i="1"/>
  <c r="P56" i="1"/>
  <c r="P53" i="1"/>
  <c r="P52" i="1"/>
  <c r="P50" i="1"/>
  <c r="P49" i="1"/>
  <c r="P47" i="1"/>
  <c r="P46" i="1"/>
  <c r="P45" i="1"/>
  <c r="P44" i="1"/>
  <c r="P43" i="1"/>
  <c r="P42" i="1"/>
  <c r="P41" i="1"/>
  <c r="Q220" i="1" l="1"/>
  <c r="Q219" i="1" s="1"/>
  <c r="T221" i="1"/>
  <c r="T219" i="1"/>
  <c r="L312" i="4"/>
  <c r="L122" i="4"/>
  <c r="L113" i="4" s="1"/>
  <c r="N643" i="4"/>
  <c r="T91" i="1"/>
  <c r="N636" i="4"/>
  <c r="N632" i="4"/>
  <c r="N623" i="4"/>
  <c r="N501" i="4"/>
  <c r="N505" i="4"/>
  <c r="N341" i="4"/>
  <c r="T125" i="1"/>
  <c r="N403" i="4"/>
  <c r="N191" i="4"/>
  <c r="N217" i="4"/>
  <c r="N364" i="4"/>
  <c r="N558" i="4"/>
  <c r="N663" i="4"/>
  <c r="R25" i="1"/>
  <c r="N504" i="4"/>
  <c r="T90" i="1"/>
  <c r="N337" i="4"/>
  <c r="N340" i="4"/>
  <c r="K165" i="4"/>
  <c r="T184" i="1"/>
  <c r="N399" i="4"/>
  <c r="N402" i="4"/>
  <c r="N664" i="4"/>
  <c r="N426" i="4"/>
  <c r="N224" i="4"/>
  <c r="T179" i="1"/>
  <c r="T117" i="1"/>
  <c r="N365" i="4"/>
  <c r="N225" i="4"/>
  <c r="N218" i="4"/>
  <c r="T175" i="1"/>
  <c r="N317" i="4"/>
  <c r="N334" i="4"/>
  <c r="T119" i="1"/>
  <c r="Q93" i="1"/>
  <c r="N236" i="4"/>
  <c r="N264" i="4"/>
  <c r="N290" i="4"/>
  <c r="J328" i="4"/>
  <c r="J323" i="4" s="1"/>
  <c r="N396" i="4"/>
  <c r="T147" i="1"/>
  <c r="N427" i="4"/>
  <c r="T186" i="1"/>
  <c r="T136" i="1"/>
  <c r="N371" i="4"/>
  <c r="N658" i="4"/>
  <c r="N559" i="4"/>
  <c r="R173" i="1"/>
  <c r="N397" i="4"/>
  <c r="N655" i="4"/>
  <c r="N250" i="4"/>
  <c r="N373" i="4"/>
  <c r="Q96" i="1"/>
  <c r="T97" i="1"/>
  <c r="N297" i="4"/>
  <c r="T137" i="1"/>
  <c r="T123" i="1"/>
  <c r="N258" i="4"/>
  <c r="T113" i="1"/>
  <c r="N493" i="4"/>
  <c r="N471" i="4"/>
  <c r="N420" i="4"/>
  <c r="T171" i="1"/>
  <c r="N212" i="4"/>
  <c r="T152" i="1"/>
  <c r="N347" i="4"/>
  <c r="N319" i="4"/>
  <c r="N310" i="4"/>
  <c r="N304" i="4"/>
  <c r="N198" i="4"/>
  <c r="T156" i="1"/>
  <c r="T155" i="1"/>
  <c r="T160" i="1"/>
  <c r="R145" i="1"/>
  <c r="T135" i="1"/>
  <c r="N95" i="4"/>
  <c r="T164" i="1"/>
  <c r="N82" i="4"/>
  <c r="T190" i="1"/>
  <c r="T183" i="1"/>
  <c r="T182" i="1"/>
  <c r="N62" i="4"/>
  <c r="T144" i="1"/>
  <c r="T143" i="1"/>
  <c r="T142" i="1"/>
  <c r="N54" i="4"/>
  <c r="T134" i="1"/>
  <c r="T133" i="1"/>
  <c r="T130" i="1"/>
  <c r="T127" i="1"/>
  <c r="T126" i="1"/>
  <c r="T124" i="1"/>
  <c r="T121" i="1"/>
  <c r="T118" i="1"/>
  <c r="T116" i="1"/>
  <c r="T115" i="1"/>
  <c r="T112" i="1"/>
  <c r="T111" i="1"/>
  <c r="T110" i="1"/>
  <c r="N20" i="4"/>
  <c r="N21" i="4"/>
  <c r="Q211" i="1"/>
  <c r="Q207" i="1" s="1"/>
  <c r="Q24" i="1" s="1"/>
  <c r="N274" i="4"/>
  <c r="N146" i="4"/>
  <c r="N359" i="4"/>
  <c r="N282" i="4"/>
  <c r="N74" i="4"/>
  <c r="N88" i="4"/>
  <c r="N118" i="4"/>
  <c r="N131" i="4"/>
  <c r="N243" i="4"/>
  <c r="K260" i="4"/>
  <c r="N271" i="4"/>
  <c r="N325" i="4"/>
  <c r="J388" i="4"/>
  <c r="J387" i="4" s="1"/>
  <c r="N389" i="4"/>
  <c r="N409" i="4"/>
  <c r="N522" i="4"/>
  <c r="N205" i="4"/>
  <c r="N535" i="4"/>
  <c r="L12" i="4"/>
  <c r="L29" i="4"/>
  <c r="L28" i="4" s="1"/>
  <c r="L620" i="4"/>
  <c r="L617" i="4" s="1"/>
  <c r="K9" i="4"/>
  <c r="R38" i="1"/>
  <c r="R15" i="1" s="1"/>
  <c r="L392" i="4"/>
  <c r="L270" i="4"/>
  <c r="L269" i="4" s="1"/>
  <c r="L260" i="4" s="1"/>
  <c r="N654" i="4"/>
  <c r="Q200" i="1"/>
  <c r="Q23" i="1" s="1"/>
  <c r="Q103" i="1"/>
  <c r="T103" i="1" s="1"/>
  <c r="Q146" i="1"/>
  <c r="T146" i="1" s="1"/>
  <c r="Q105" i="1"/>
  <c r="T105" i="1" s="1"/>
  <c r="Q129" i="1"/>
  <c r="Q161" i="1"/>
  <c r="Q170" i="1"/>
  <c r="Q163" i="1"/>
  <c r="Q174" i="1"/>
  <c r="Q101" i="1"/>
  <c r="N622" i="4"/>
  <c r="N370" i="4"/>
  <c r="Q154" i="1"/>
  <c r="J29" i="4"/>
  <c r="T109" i="1"/>
  <c r="Q181" i="1"/>
  <c r="T181" i="1" s="1"/>
  <c r="T114" i="1"/>
  <c r="Q141" i="1"/>
  <c r="Q77" i="1"/>
  <c r="T77" i="1" s="1"/>
  <c r="Q66" i="1"/>
  <c r="T66" i="1" s="1"/>
  <c r="Q54" i="1"/>
  <c r="T54" i="1" s="1"/>
  <c r="Q39" i="1"/>
  <c r="T39" i="1" s="1"/>
  <c r="P48" i="1"/>
  <c r="N29" i="1"/>
  <c r="N98" i="1"/>
  <c r="N95" i="1"/>
  <c r="N92" i="1"/>
  <c r="N89" i="1"/>
  <c r="N88" i="1"/>
  <c r="N87" i="1"/>
  <c r="N85" i="1"/>
  <c r="N84" i="1"/>
  <c r="N83" i="1"/>
  <c r="N80" i="1"/>
  <c r="N81" i="1"/>
  <c r="N79" i="1"/>
  <c r="N76" i="1"/>
  <c r="N75" i="1"/>
  <c r="N74" i="1"/>
  <c r="N73" i="1"/>
  <c r="N72" i="1"/>
  <c r="N71" i="1"/>
  <c r="N69" i="1"/>
  <c r="N68" i="1"/>
  <c r="N64" i="1"/>
  <c r="N62" i="1"/>
  <c r="N60" i="1"/>
  <c r="N59" i="1"/>
  <c r="N57" i="1"/>
  <c r="N56" i="1"/>
  <c r="N53" i="1"/>
  <c r="N52" i="1"/>
  <c r="N50" i="1"/>
  <c r="N49" i="1"/>
  <c r="N47" i="1"/>
  <c r="N46" i="1"/>
  <c r="N45" i="1"/>
  <c r="N44" i="1"/>
  <c r="N43" i="1"/>
  <c r="N42" i="1"/>
  <c r="N41" i="1"/>
  <c r="T220" i="1" l="1"/>
  <c r="J312" i="4"/>
  <c r="T101" i="1"/>
  <c r="Q100" i="1"/>
  <c r="T100" i="1" s="1"/>
  <c r="N120" i="4"/>
  <c r="Q173" i="1"/>
  <c r="T173" i="1" s="1"/>
  <c r="Q145" i="1"/>
  <c r="T145" i="1" s="1"/>
  <c r="K286" i="4"/>
  <c r="K650" i="4"/>
  <c r="N349" i="4"/>
  <c r="N235" i="4"/>
  <c r="N352" i="4"/>
  <c r="N248" i="4"/>
  <c r="N651" i="4"/>
  <c r="N444" i="4"/>
  <c r="K207" i="4"/>
  <c r="T93" i="1"/>
  <c r="N423" i="4"/>
  <c r="N123" i="4"/>
  <c r="N249" i="4"/>
  <c r="N642" i="4"/>
  <c r="T174" i="1"/>
  <c r="T161" i="1"/>
  <c r="K113" i="4"/>
  <c r="N361" i="4"/>
  <c r="N214" i="4"/>
  <c r="N639" i="4"/>
  <c r="Q16" i="1"/>
  <c r="T96" i="1"/>
  <c r="N296" i="4"/>
  <c r="N257" i="4"/>
  <c r="N492" i="4"/>
  <c r="N470" i="4"/>
  <c r="N441" i="4"/>
  <c r="T170" i="1"/>
  <c r="N419" i="4"/>
  <c r="N211" i="4"/>
  <c r="N343" i="4"/>
  <c r="N346" i="4"/>
  <c r="N316" i="4"/>
  <c r="N309" i="4"/>
  <c r="N303" i="4"/>
  <c r="N197" i="4"/>
  <c r="Q153" i="1"/>
  <c r="T153" i="1" s="1"/>
  <c r="T154" i="1"/>
  <c r="N94" i="4"/>
  <c r="T163" i="1"/>
  <c r="N78" i="4"/>
  <c r="N81" i="4"/>
  <c r="J60" i="4"/>
  <c r="N58" i="4" s="1"/>
  <c r="N61" i="4"/>
  <c r="Q138" i="1"/>
  <c r="T141" i="1"/>
  <c r="N53" i="4"/>
  <c r="T129" i="1"/>
  <c r="J28" i="4"/>
  <c r="N26" i="4" s="1"/>
  <c r="N29" i="4"/>
  <c r="J12" i="4"/>
  <c r="N10" i="4" s="1"/>
  <c r="N13" i="4"/>
  <c r="N145" i="4"/>
  <c r="N358" i="4"/>
  <c r="N278" i="4"/>
  <c r="N281" i="4"/>
  <c r="J72" i="4"/>
  <c r="N73" i="4"/>
  <c r="N87" i="4"/>
  <c r="N117" i="4"/>
  <c r="N130" i="4"/>
  <c r="N242" i="4"/>
  <c r="N270" i="4"/>
  <c r="K277" i="4"/>
  <c r="N321" i="4"/>
  <c r="N324" i="4"/>
  <c r="R14" i="1"/>
  <c r="N385" i="4"/>
  <c r="N388" i="4"/>
  <c r="N408" i="4"/>
  <c r="N521" i="4"/>
  <c r="N204" i="4"/>
  <c r="N534" i="4"/>
  <c r="L9" i="4"/>
  <c r="N619" i="4"/>
  <c r="L170" i="4"/>
  <c r="L169" i="4" s="1"/>
  <c r="L165" i="4" s="1"/>
  <c r="Q25" i="1"/>
  <c r="Q38" i="1"/>
  <c r="P221" i="1"/>
  <c r="P215" i="1"/>
  <c r="P214" i="1" s="1"/>
  <c r="P212" i="1"/>
  <c r="P209" i="1"/>
  <c r="P208" i="1" s="1"/>
  <c r="P205" i="1"/>
  <c r="P204" i="1" s="1"/>
  <c r="P202" i="1"/>
  <c r="P201" i="1" s="1"/>
  <c r="P168" i="1"/>
  <c r="P165" i="1"/>
  <c r="P139" i="1"/>
  <c r="P97" i="1"/>
  <c r="P96" i="1" s="1"/>
  <c r="P16" i="1" s="1"/>
  <c r="P94" i="1"/>
  <c r="P93" i="1" s="1"/>
  <c r="P91" i="1"/>
  <c r="P90" i="1" s="1"/>
  <c r="P86" i="1"/>
  <c r="P82" i="1"/>
  <c r="P78" i="1"/>
  <c r="P70" i="1"/>
  <c r="P67" i="1"/>
  <c r="P58" i="1"/>
  <c r="P55" i="1"/>
  <c r="P51" i="1"/>
  <c r="P40" i="1"/>
  <c r="O221" i="1"/>
  <c r="O220" i="1" s="1"/>
  <c r="O219" i="1" s="1"/>
  <c r="O214" i="1"/>
  <c r="O212" i="1"/>
  <c r="O209" i="1"/>
  <c r="O208" i="1" s="1"/>
  <c r="O205" i="1"/>
  <c r="O204" i="1" s="1"/>
  <c r="O202" i="1"/>
  <c r="O201" i="1" s="1"/>
  <c r="O196" i="1"/>
  <c r="O190" i="1"/>
  <c r="S190" i="1" s="1"/>
  <c r="S186" i="1"/>
  <c r="O185" i="1"/>
  <c r="S185" i="1" s="1"/>
  <c r="S184" i="1"/>
  <c r="O183" i="1"/>
  <c r="S183" i="1" s="1"/>
  <c r="S182" i="1"/>
  <c r="S178" i="1"/>
  <c r="O175" i="1"/>
  <c r="O168" i="1"/>
  <c r="O165" i="1"/>
  <c r="O164" i="1"/>
  <c r="O162" i="1"/>
  <c r="O160" i="1"/>
  <c r="S160" i="1" s="1"/>
  <c r="S156" i="1"/>
  <c r="S155" i="1"/>
  <c r="S152" i="1"/>
  <c r="S148" i="1"/>
  <c r="O147" i="1"/>
  <c r="S147" i="1" s="1"/>
  <c r="O144" i="1"/>
  <c r="S144" i="1" s="1"/>
  <c r="O143" i="1"/>
  <c r="S143" i="1" s="1"/>
  <c r="O142" i="1"/>
  <c r="S142" i="1" s="1"/>
  <c r="O139" i="1"/>
  <c r="O137" i="1"/>
  <c r="S137" i="1" s="1"/>
  <c r="O136" i="1"/>
  <c r="S136" i="1" s="1"/>
  <c r="O135" i="1"/>
  <c r="S135" i="1" s="1"/>
  <c r="O133" i="1"/>
  <c r="S133" i="1" s="1"/>
  <c r="O130" i="1"/>
  <c r="O127" i="1"/>
  <c r="S127" i="1" s="1"/>
  <c r="S126" i="1"/>
  <c r="S125" i="1"/>
  <c r="O124" i="1"/>
  <c r="S124" i="1" s="1"/>
  <c r="S123" i="1"/>
  <c r="O121" i="1"/>
  <c r="S121" i="1" s="1"/>
  <c r="O119" i="1"/>
  <c r="S119" i="1" s="1"/>
  <c r="O118" i="1"/>
  <c r="S118" i="1" s="1"/>
  <c r="O117" i="1"/>
  <c r="S117" i="1" s="1"/>
  <c r="S116" i="1"/>
  <c r="S115" i="1"/>
  <c r="S113" i="1"/>
  <c r="S112" i="1"/>
  <c r="O110" i="1"/>
  <c r="S110" i="1" s="1"/>
  <c r="O97" i="1"/>
  <c r="O94" i="1"/>
  <c r="O91" i="1"/>
  <c r="O86" i="1"/>
  <c r="S86" i="1" s="1"/>
  <c r="O82" i="1"/>
  <c r="S82" i="1" s="1"/>
  <c r="O78" i="1"/>
  <c r="S78" i="1" s="1"/>
  <c r="O70" i="1"/>
  <c r="S70" i="1" s="1"/>
  <c r="O67" i="1"/>
  <c r="S67" i="1" s="1"/>
  <c r="S61" i="1"/>
  <c r="O58" i="1"/>
  <c r="S58" i="1" s="1"/>
  <c r="O55" i="1"/>
  <c r="S55" i="1" s="1"/>
  <c r="O51" i="1"/>
  <c r="S51" i="1" s="1"/>
  <c r="O48" i="1"/>
  <c r="S48" i="1" s="1"/>
  <c r="O40" i="1"/>
  <c r="S40" i="1" s="1"/>
  <c r="N221" i="1"/>
  <c r="N220" i="1" s="1"/>
  <c r="N219" i="1" s="1"/>
  <c r="N28" i="1" s="1"/>
  <c r="N215" i="1"/>
  <c r="N214" i="1" s="1"/>
  <c r="N212" i="1"/>
  <c r="N209" i="1"/>
  <c r="N208" i="1" s="1"/>
  <c r="N205" i="1"/>
  <c r="N204" i="1" s="1"/>
  <c r="N202" i="1"/>
  <c r="N201" i="1" s="1"/>
  <c r="N196" i="1"/>
  <c r="N168" i="1"/>
  <c r="N165" i="1"/>
  <c r="N139" i="1"/>
  <c r="N97" i="1"/>
  <c r="N96" i="1" s="1"/>
  <c r="N16" i="1" s="1"/>
  <c r="N94" i="1"/>
  <c r="N93" i="1" s="1"/>
  <c r="N91" i="1"/>
  <c r="N90" i="1" s="1"/>
  <c r="N86" i="1"/>
  <c r="N82" i="1"/>
  <c r="N78" i="1"/>
  <c r="N70" i="1"/>
  <c r="N67" i="1"/>
  <c r="N61" i="1"/>
  <c r="N58" i="1"/>
  <c r="N55" i="1"/>
  <c r="N51" i="1"/>
  <c r="N48" i="1"/>
  <c r="N40" i="1"/>
  <c r="P162" i="1"/>
  <c r="P119" i="1"/>
  <c r="P148" i="1"/>
  <c r="P147" i="1"/>
  <c r="P135" i="1"/>
  <c r="P164" i="1"/>
  <c r="P190" i="1"/>
  <c r="P185" i="1"/>
  <c r="P183" i="1"/>
  <c r="P182" i="1"/>
  <c r="P144" i="1"/>
  <c r="P143" i="1"/>
  <c r="P142" i="1"/>
  <c r="P136" i="1"/>
  <c r="P118" i="1"/>
  <c r="P112" i="1"/>
  <c r="P110" i="1"/>
  <c r="M179" i="1"/>
  <c r="I658" i="4"/>
  <c r="M658" i="4" s="1"/>
  <c r="I329" i="4"/>
  <c r="I319" i="4"/>
  <c r="M319" i="4" s="1"/>
  <c r="M122" i="1"/>
  <c r="F636" i="4"/>
  <c r="M102" i="1"/>
  <c r="M101" i="1" s="1"/>
  <c r="M155" i="1"/>
  <c r="G665" i="4"/>
  <c r="G661" i="4"/>
  <c r="G656" i="4"/>
  <c r="G649" i="4"/>
  <c r="G644" i="4"/>
  <c r="G637" i="4"/>
  <c r="G636" i="4" s="1"/>
  <c r="G634" i="4"/>
  <c r="G630" i="4"/>
  <c r="G629" i="4" s="1"/>
  <c r="G627" i="4"/>
  <c r="G624" i="4"/>
  <c r="G623" i="4" s="1"/>
  <c r="G560" i="4"/>
  <c r="G537" i="4"/>
  <c r="N178" i="1"/>
  <c r="G529" i="4"/>
  <c r="G523" i="4"/>
  <c r="G506" i="4"/>
  <c r="G505" i="4" s="1"/>
  <c r="G504" i="4" s="1"/>
  <c r="G494" i="4"/>
  <c r="G493" i="4" s="1"/>
  <c r="G492" i="4" s="1"/>
  <c r="G491" i="4" s="1"/>
  <c r="G486" i="4" s="1"/>
  <c r="G472" i="4"/>
  <c r="G471" i="4" s="1"/>
  <c r="G470" i="4" s="1"/>
  <c r="G469" i="4" s="1"/>
  <c r="G454" i="4"/>
  <c r="G448" i="4"/>
  <c r="G447" i="4" s="1"/>
  <c r="G446" i="4"/>
  <c r="G428" i="4"/>
  <c r="G422" i="4"/>
  <c r="G421" i="4"/>
  <c r="G410" i="4"/>
  <c r="G404" i="4"/>
  <c r="G398" i="4"/>
  <c r="N175" i="1" s="1"/>
  <c r="N174" i="1" s="1"/>
  <c r="N173" i="1" s="1"/>
  <c r="G391" i="4"/>
  <c r="G389" i="4" s="1"/>
  <c r="G388" i="4" s="1"/>
  <c r="G387" i="4" s="1"/>
  <c r="G382" i="4"/>
  <c r="G380" i="4" s="1"/>
  <c r="G378" i="4" s="1"/>
  <c r="G377" i="4" s="1"/>
  <c r="G374" i="4"/>
  <c r="G372" i="4"/>
  <c r="G366" i="4"/>
  <c r="G360" i="4"/>
  <c r="G354" i="4"/>
  <c r="G348" i="4"/>
  <c r="G342" i="4"/>
  <c r="G336" i="4"/>
  <c r="G327" i="4"/>
  <c r="G326" i="4"/>
  <c r="G320" i="4"/>
  <c r="G319" i="4" s="1"/>
  <c r="G318" i="4"/>
  <c r="G311" i="4"/>
  <c r="G305" i="4"/>
  <c r="G298" i="4"/>
  <c r="G292" i="4"/>
  <c r="G285" i="4"/>
  <c r="N162" i="1" s="1"/>
  <c r="N161" i="1" s="1"/>
  <c r="G283" i="4"/>
  <c r="G276" i="4"/>
  <c r="G275" i="4"/>
  <c r="M274" i="4" s="1"/>
  <c r="G273" i="4"/>
  <c r="G272" i="4"/>
  <c r="G266" i="4"/>
  <c r="G259" i="4"/>
  <c r="G258" i="4" s="1"/>
  <c r="G257" i="4" s="1"/>
  <c r="G256" i="4" s="1"/>
  <c r="G253" i="4" s="1"/>
  <c r="N151" i="1"/>
  <c r="G252" i="4"/>
  <c r="G251" i="4"/>
  <c r="G244" i="4"/>
  <c r="N119" i="1" s="1"/>
  <c r="G238" i="4"/>
  <c r="G232" i="4"/>
  <c r="N192" i="1" s="1"/>
  <c r="G226" i="4"/>
  <c r="G219" i="4"/>
  <c r="G213" i="4"/>
  <c r="G212" i="4" s="1"/>
  <c r="G211" i="4" s="1"/>
  <c r="G210" i="4" s="1"/>
  <c r="G206" i="4"/>
  <c r="G205" i="4" s="1"/>
  <c r="G204" i="4" s="1"/>
  <c r="G203" i="4" s="1"/>
  <c r="G200" i="4" s="1"/>
  <c r="G199" i="4"/>
  <c r="G193" i="4"/>
  <c r="G187" i="4"/>
  <c r="G186" i="4"/>
  <c r="G185" i="4"/>
  <c r="G184" i="4"/>
  <c r="G183" i="4"/>
  <c r="G182" i="4"/>
  <c r="G181" i="4"/>
  <c r="G173" i="4"/>
  <c r="G180" i="4"/>
  <c r="G172" i="4"/>
  <c r="G147" i="4"/>
  <c r="G140" i="4"/>
  <c r="N160" i="1" s="1"/>
  <c r="G139" i="4"/>
  <c r="G132" i="4"/>
  <c r="G131" i="4" s="1"/>
  <c r="G130" i="4" s="1"/>
  <c r="G129" i="4" s="1"/>
  <c r="G126" i="4" s="1"/>
  <c r="G125" i="4"/>
  <c r="G119" i="4"/>
  <c r="N147" i="1" s="1"/>
  <c r="G112" i="4"/>
  <c r="G111" i="4" s="1"/>
  <c r="G110" i="4" s="1"/>
  <c r="G109" i="4"/>
  <c r="G108" i="4" s="1"/>
  <c r="G107" i="4"/>
  <c r="G106" i="4" s="1"/>
  <c r="G98" i="4"/>
  <c r="N135" i="1" s="1"/>
  <c r="G97" i="4"/>
  <c r="G96" i="4"/>
  <c r="G89" i="4"/>
  <c r="G88" i="4" s="1"/>
  <c r="G87" i="4" s="1"/>
  <c r="G86" i="4" s="1"/>
  <c r="G83" i="4"/>
  <c r="G75" i="4"/>
  <c r="G74" i="4" s="1"/>
  <c r="G73" i="4" s="1"/>
  <c r="G72" i="4" s="1"/>
  <c r="G68" i="4" s="1"/>
  <c r="G67" i="4"/>
  <c r="G66" i="4"/>
  <c r="N185" i="1" s="1"/>
  <c r="G65" i="4"/>
  <c r="G64" i="4"/>
  <c r="N183" i="1" s="1"/>
  <c r="G63" i="4"/>
  <c r="N182" i="1" s="1"/>
  <c r="G57" i="4"/>
  <c r="N144" i="1" s="1"/>
  <c r="G56" i="4"/>
  <c r="N143" i="1" s="1"/>
  <c r="G55" i="4"/>
  <c r="N142" i="1" s="1"/>
  <c r="G52" i="4"/>
  <c r="G51" i="4"/>
  <c r="N136" i="1" s="1"/>
  <c r="G50" i="4"/>
  <c r="G49" i="4"/>
  <c r="M48" i="4" s="1"/>
  <c r="G47" i="4"/>
  <c r="G46" i="4" s="1"/>
  <c r="G45" i="4"/>
  <c r="G44" i="4"/>
  <c r="N127" i="1" s="1"/>
  <c r="G43" i="4"/>
  <c r="G42" i="4"/>
  <c r="G41" i="4"/>
  <c r="G40" i="4"/>
  <c r="G39" i="4"/>
  <c r="G38" i="4"/>
  <c r="N121" i="1" s="1"/>
  <c r="G35" i="4"/>
  <c r="G34" i="4"/>
  <c r="G32" i="4"/>
  <c r="G31" i="4"/>
  <c r="I30" i="4" s="1"/>
  <c r="M30" i="4" s="1"/>
  <c r="G25" i="4"/>
  <c r="G24" i="4"/>
  <c r="N112" i="1" s="1"/>
  <c r="G23" i="4"/>
  <c r="G22" i="4"/>
  <c r="N110" i="1" s="1"/>
  <c r="G19" i="4"/>
  <c r="M18" i="4" s="1"/>
  <c r="G17" i="4"/>
  <c r="G15" i="4"/>
  <c r="G14" i="4" s="1"/>
  <c r="G667" i="4"/>
  <c r="G658" i="4"/>
  <c r="G329" i="4"/>
  <c r="G328" i="4" s="1"/>
  <c r="M180" i="1"/>
  <c r="F535" i="4"/>
  <c r="F534" i="4" s="1"/>
  <c r="M55" i="1"/>
  <c r="M61" i="1"/>
  <c r="M58" i="1"/>
  <c r="F389" i="4"/>
  <c r="F388" i="4" s="1"/>
  <c r="F387" i="4" s="1"/>
  <c r="F380" i="4"/>
  <c r="F378" i="4" s="1"/>
  <c r="F377" i="4" s="1"/>
  <c r="F427" i="4"/>
  <c r="F426" i="4" s="1"/>
  <c r="F425" i="4" s="1"/>
  <c r="M178" i="1"/>
  <c r="F528" i="4"/>
  <c r="F527" i="4" s="1"/>
  <c r="M111" i="1"/>
  <c r="M106" i="1"/>
  <c r="M105" i="1" s="1"/>
  <c r="F664" i="4"/>
  <c r="F663" i="4" s="1"/>
  <c r="F667" i="4"/>
  <c r="N668" i="4"/>
  <c r="F658" i="4"/>
  <c r="F660" i="4"/>
  <c r="F655" i="4"/>
  <c r="E654" i="4"/>
  <c r="E653" i="4" s="1"/>
  <c r="E650" i="4" s="1"/>
  <c r="F559" i="4"/>
  <c r="F558" i="4" s="1"/>
  <c r="F557" i="4" s="1"/>
  <c r="F310" i="4"/>
  <c r="F309" i="4" s="1"/>
  <c r="F308" i="4" s="1"/>
  <c r="M195" i="1"/>
  <c r="M194" i="1" s="1"/>
  <c r="M192" i="1"/>
  <c r="F274" i="4"/>
  <c r="M151" i="1"/>
  <c r="M124" i="1"/>
  <c r="M123" i="1"/>
  <c r="F14" i="4"/>
  <c r="M156" i="1"/>
  <c r="M134" i="1"/>
  <c r="M115" i="1"/>
  <c r="M113" i="1"/>
  <c r="M112" i="1"/>
  <c r="M104" i="1"/>
  <c r="F648" i="4"/>
  <c r="E648" i="4"/>
  <c r="E636" i="4" s="1"/>
  <c r="E633" i="4" s="1"/>
  <c r="F643" i="4"/>
  <c r="E641" i="4"/>
  <c r="F633" i="4"/>
  <c r="F629" i="4"/>
  <c r="F626" i="4"/>
  <c r="F623" i="4"/>
  <c r="E622" i="4"/>
  <c r="E621" i="4" s="1"/>
  <c r="E618" i="4" s="1"/>
  <c r="M190" i="1"/>
  <c r="M186" i="1"/>
  <c r="M184" i="1"/>
  <c r="M132" i="1"/>
  <c r="M215" i="1"/>
  <c r="M214" i="1" s="1"/>
  <c r="M116" i="1"/>
  <c r="M171" i="1"/>
  <c r="M148" i="1"/>
  <c r="M128" i="1"/>
  <c r="F453" i="4"/>
  <c r="F452" i="4" s="1"/>
  <c r="F451" i="4" s="1"/>
  <c r="F124" i="4"/>
  <c r="F123" i="4" s="1"/>
  <c r="F122" i="4" s="1"/>
  <c r="F493" i="4"/>
  <c r="F492" i="4" s="1"/>
  <c r="F491" i="4" s="1"/>
  <c r="F486" i="4" s="1"/>
  <c r="N495" i="4"/>
  <c r="F420" i="4"/>
  <c r="F419" i="4" s="1"/>
  <c r="F111" i="4"/>
  <c r="F110" i="4" s="1"/>
  <c r="F106" i="4"/>
  <c r="F108" i="4"/>
  <c r="M78" i="1"/>
  <c r="M91" i="1"/>
  <c r="M90" i="1" s="1"/>
  <c r="J90" i="1"/>
  <c r="M70" i="1"/>
  <c r="M97" i="1"/>
  <c r="M96" i="1" s="1"/>
  <c r="M16" i="1" s="1"/>
  <c r="M136" i="1"/>
  <c r="M175" i="1"/>
  <c r="M94" i="1"/>
  <c r="M93" i="1" s="1"/>
  <c r="M185" i="1"/>
  <c r="M183" i="1"/>
  <c r="M182" i="1"/>
  <c r="M164" i="1"/>
  <c r="M162" i="1"/>
  <c r="M160" i="1"/>
  <c r="M152" i="1"/>
  <c r="M147" i="1"/>
  <c r="M144" i="1"/>
  <c r="M143" i="1"/>
  <c r="M142" i="1"/>
  <c r="M137" i="1"/>
  <c r="M135" i="1"/>
  <c r="M133" i="1"/>
  <c r="M130" i="1"/>
  <c r="M127" i="1"/>
  <c r="M126" i="1"/>
  <c r="M125" i="1"/>
  <c r="M121" i="1"/>
  <c r="M119" i="1"/>
  <c r="M118" i="1"/>
  <c r="M117" i="1"/>
  <c r="M110" i="1"/>
  <c r="F54" i="4"/>
  <c r="F46" i="4"/>
  <c r="F37" i="4"/>
  <c r="F30" i="4"/>
  <c r="F21" i="4"/>
  <c r="F18" i="4"/>
  <c r="F16" i="4"/>
  <c r="F522" i="4"/>
  <c r="F225" i="4"/>
  <c r="F198" i="4"/>
  <c r="F197" i="4" s="1"/>
  <c r="F196" i="4" s="1"/>
  <c r="F505" i="4"/>
  <c r="F329" i="4"/>
  <c r="F328" i="4" s="1"/>
  <c r="F471" i="4"/>
  <c r="F470" i="4" s="1"/>
  <c r="F469" i="4" s="1"/>
  <c r="F447" i="4"/>
  <c r="F445" i="4"/>
  <c r="F403" i="4"/>
  <c r="F402" i="4" s="1"/>
  <c r="F401" i="4" s="1"/>
  <c r="F373" i="4"/>
  <c r="F371" i="4"/>
  <c r="F365" i="4"/>
  <c r="F364" i="4" s="1"/>
  <c r="F359" i="4"/>
  <c r="F358" i="4" s="1"/>
  <c r="F357" i="4" s="1"/>
  <c r="F353" i="4"/>
  <c r="F352" i="4" s="1"/>
  <c r="F351" i="4" s="1"/>
  <c r="F347" i="4"/>
  <c r="F346" i="4" s="1"/>
  <c r="F345" i="4" s="1"/>
  <c r="F341" i="4"/>
  <c r="F335" i="4"/>
  <c r="F334" i="4" s="1"/>
  <c r="F333" i="4" s="1"/>
  <c r="F325" i="4"/>
  <c r="F324" i="4" s="1"/>
  <c r="F319" i="4"/>
  <c r="F317" i="4"/>
  <c r="F304" i="4"/>
  <c r="F303" i="4" s="1"/>
  <c r="F302" i="4" s="1"/>
  <c r="F297" i="4"/>
  <c r="F291" i="4"/>
  <c r="F290" i="4" s="1"/>
  <c r="F289" i="4" s="1"/>
  <c r="F284" i="4"/>
  <c r="F282" i="4"/>
  <c r="F271" i="4"/>
  <c r="F265" i="4"/>
  <c r="F258" i="4"/>
  <c r="F257" i="4" s="1"/>
  <c r="F256" i="4" s="1"/>
  <c r="F253" i="4" s="1"/>
  <c r="F250" i="4"/>
  <c r="F249" i="4" s="1"/>
  <c r="F248" i="4" s="1"/>
  <c r="F243" i="4"/>
  <c r="F242" i="4" s="1"/>
  <c r="F241" i="4" s="1"/>
  <c r="F237" i="4"/>
  <c r="F236" i="4" s="1"/>
  <c r="F231" i="4"/>
  <c r="F230" i="4" s="1"/>
  <c r="F229" i="4" s="1"/>
  <c r="F218" i="4"/>
  <c r="F217" i="4" s="1"/>
  <c r="F216" i="4" s="1"/>
  <c r="F212" i="4"/>
  <c r="F211" i="4" s="1"/>
  <c r="F210" i="4" s="1"/>
  <c r="F205" i="4"/>
  <c r="F204" i="4" s="1"/>
  <c r="F203" i="4" s="1"/>
  <c r="F200" i="4" s="1"/>
  <c r="F146" i="4"/>
  <c r="F145" i="4" s="1"/>
  <c r="F144" i="4" s="1"/>
  <c r="F141" i="4" s="1"/>
  <c r="F138" i="4"/>
  <c r="F137" i="4" s="1"/>
  <c r="F136" i="4" s="1"/>
  <c r="F131" i="4"/>
  <c r="F118" i="4"/>
  <c r="F117" i="4" s="1"/>
  <c r="F116" i="4" s="1"/>
  <c r="F95" i="4"/>
  <c r="F94" i="4" s="1"/>
  <c r="F93" i="4" s="1"/>
  <c r="F90" i="4" s="1"/>
  <c r="F88" i="4"/>
  <c r="F87" i="4" s="1"/>
  <c r="F86" i="4" s="1"/>
  <c r="F82" i="4"/>
  <c r="F81" i="4" s="1"/>
  <c r="F80" i="4" s="1"/>
  <c r="F76" i="4" s="1"/>
  <c r="F74" i="4"/>
  <c r="F73" i="4" s="1"/>
  <c r="F72" i="4" s="1"/>
  <c r="F68" i="4" s="1"/>
  <c r="E440" i="4"/>
  <c r="E438" i="4" s="1"/>
  <c r="E392" i="4"/>
  <c r="E312" i="4"/>
  <c r="E286" i="4"/>
  <c r="E260" i="4"/>
  <c r="E220" i="4"/>
  <c r="E165" i="4"/>
  <c r="E95" i="4"/>
  <c r="F62" i="4"/>
  <c r="F61" i="4" s="1"/>
  <c r="F60" i="4" s="1"/>
  <c r="E62" i="4"/>
  <c r="E54" i="4"/>
  <c r="E48" i="4"/>
  <c r="E37" i="4"/>
  <c r="E30" i="4"/>
  <c r="E21" i="4"/>
  <c r="E13" i="4"/>
  <c r="E12" i="4" s="1"/>
  <c r="E7" i="4"/>
  <c r="E669" i="4"/>
  <c r="E667" i="4" s="1"/>
  <c r="E664" i="4" s="1"/>
  <c r="M196" i="1"/>
  <c r="J23" i="3"/>
  <c r="J495" i="3"/>
  <c r="J473" i="3"/>
  <c r="J466" i="3"/>
  <c r="J459" i="3"/>
  <c r="J439" i="3"/>
  <c r="J432" i="3"/>
  <c r="J424" i="3"/>
  <c r="J419" i="3"/>
  <c r="J410" i="3"/>
  <c r="J407" i="3"/>
  <c r="J390" i="3"/>
  <c r="J383" i="3"/>
  <c r="J376" i="3"/>
  <c r="J367" i="3"/>
  <c r="J360" i="3"/>
  <c r="J352" i="3"/>
  <c r="J343" i="3"/>
  <c r="J332" i="3"/>
  <c r="J318" i="3"/>
  <c r="J307" i="3"/>
  <c r="J298" i="3"/>
  <c r="J291" i="3"/>
  <c r="J275" i="3"/>
  <c r="J272" i="3"/>
  <c r="J260" i="3"/>
  <c r="J249" i="3"/>
  <c r="J240" i="3"/>
  <c r="J232" i="3"/>
  <c r="J229" i="3"/>
  <c r="J222" i="3"/>
  <c r="J215" i="3"/>
  <c r="J204" i="3"/>
  <c r="J195" i="3"/>
  <c r="J188" i="3"/>
  <c r="J184" i="3"/>
  <c r="J172" i="3"/>
  <c r="J163" i="3"/>
  <c r="J156" i="3"/>
  <c r="J149" i="3"/>
  <c r="J140" i="3"/>
  <c r="J129" i="3"/>
  <c r="J119" i="3"/>
  <c r="J112" i="3"/>
  <c r="J102" i="3"/>
  <c r="J91" i="3"/>
  <c r="J67" i="3"/>
  <c r="J57" i="3"/>
  <c r="J49" i="3"/>
  <c r="J38" i="3"/>
  <c r="J32" i="3"/>
  <c r="J17" i="3"/>
  <c r="G406" i="3"/>
  <c r="H406" i="3"/>
  <c r="H31" i="3"/>
  <c r="H27" i="3" s="1"/>
  <c r="I497" i="3"/>
  <c r="I486" i="3"/>
  <c r="I475" i="3"/>
  <c r="I468" i="3"/>
  <c r="I461" i="3"/>
  <c r="I451" i="3"/>
  <c r="I454" i="3"/>
  <c r="I441" i="3"/>
  <c r="I444" i="3"/>
  <c r="I434" i="3"/>
  <c r="I421" i="3"/>
  <c r="I423" i="3"/>
  <c r="I426" i="3"/>
  <c r="I409" i="3"/>
  <c r="I412" i="3"/>
  <c r="I402" i="3"/>
  <c r="I392" i="3"/>
  <c r="I385" i="3"/>
  <c r="I378" i="3"/>
  <c r="I369" i="3"/>
  <c r="I362" i="3"/>
  <c r="I354" i="3"/>
  <c r="I355" i="3"/>
  <c r="I345" i="3"/>
  <c r="I347" i="3"/>
  <c r="I334" i="3"/>
  <c r="I320" i="3"/>
  <c r="I321" i="3"/>
  <c r="I323" i="3"/>
  <c r="I309" i="3"/>
  <c r="I311" i="3"/>
  <c r="I293" i="3"/>
  <c r="I294" i="3"/>
  <c r="I296" i="3"/>
  <c r="I297" i="3"/>
  <c r="I300" i="3"/>
  <c r="I286" i="3"/>
  <c r="I274" i="3"/>
  <c r="I277" i="3"/>
  <c r="I279" i="3"/>
  <c r="I262" i="3"/>
  <c r="I263" i="3"/>
  <c r="I265" i="3"/>
  <c r="I251" i="3"/>
  <c r="I242" i="3"/>
  <c r="I231" i="3"/>
  <c r="I234" i="3"/>
  <c r="I224" i="3"/>
  <c r="I217" i="3"/>
  <c r="I206" i="3"/>
  <c r="I197" i="3"/>
  <c r="I186" i="3"/>
  <c r="I187" i="3"/>
  <c r="I190" i="3"/>
  <c r="I174" i="3"/>
  <c r="I165" i="3"/>
  <c r="I158" i="3"/>
  <c r="I151" i="3"/>
  <c r="I142" i="3"/>
  <c r="I131" i="3"/>
  <c r="I121" i="3"/>
  <c r="I114" i="3"/>
  <c r="I104" i="3"/>
  <c r="I105" i="3"/>
  <c r="I106" i="3"/>
  <c r="I107" i="3"/>
  <c r="I69" i="3"/>
  <c r="I70" i="3"/>
  <c r="I71" i="3"/>
  <c r="I72" i="3"/>
  <c r="I74" i="3"/>
  <c r="I75" i="3"/>
  <c r="I76" i="3"/>
  <c r="I77" i="3"/>
  <c r="I78" i="3"/>
  <c r="I79" i="3"/>
  <c r="I80" i="3"/>
  <c r="I81" i="3"/>
  <c r="I83" i="3"/>
  <c r="I85" i="3"/>
  <c r="I86" i="3"/>
  <c r="I87" i="3"/>
  <c r="I88" i="3"/>
  <c r="I89" i="3"/>
  <c r="I90" i="3"/>
  <c r="I95" i="3"/>
  <c r="I96" i="3"/>
  <c r="I97" i="3"/>
  <c r="I51" i="3"/>
  <c r="I53" i="3"/>
  <c r="I55" i="3"/>
  <c r="I56" i="3"/>
  <c r="I59" i="3"/>
  <c r="I60" i="3"/>
  <c r="I61" i="3"/>
  <c r="I62" i="3"/>
  <c r="I34" i="3"/>
  <c r="I36" i="3"/>
  <c r="I37" i="3"/>
  <c r="I40" i="3"/>
  <c r="I19" i="3"/>
  <c r="I21" i="3"/>
  <c r="I22" i="3"/>
  <c r="I25" i="3"/>
  <c r="F276" i="3"/>
  <c r="I276" i="3" s="1"/>
  <c r="F241" i="3"/>
  <c r="G228" i="3"/>
  <c r="F411" i="3"/>
  <c r="I411" i="3" s="1"/>
  <c r="E411" i="3"/>
  <c r="E410" i="3" s="1"/>
  <c r="F173" i="3"/>
  <c r="I173" i="3" s="1"/>
  <c r="G148" i="3"/>
  <c r="E150" i="3"/>
  <c r="E149" i="3" s="1"/>
  <c r="E148" i="3" s="1"/>
  <c r="F150" i="3"/>
  <c r="F149" i="3" s="1"/>
  <c r="I149" i="3" s="1"/>
  <c r="G155" i="3"/>
  <c r="H155" i="3"/>
  <c r="F157" i="3"/>
  <c r="F319" i="3"/>
  <c r="I319" i="3" s="1"/>
  <c r="H317" i="3"/>
  <c r="H313" i="3" s="1"/>
  <c r="F164" i="3"/>
  <c r="F84" i="3"/>
  <c r="I84" i="3" s="1"/>
  <c r="F73" i="3"/>
  <c r="I73" i="3" s="1"/>
  <c r="F425" i="3"/>
  <c r="E425" i="3"/>
  <c r="E424" i="3" s="1"/>
  <c r="H494" i="3"/>
  <c r="G494" i="3"/>
  <c r="F496" i="3"/>
  <c r="F495" i="3" s="1"/>
  <c r="E496" i="3"/>
  <c r="E495" i="3" s="1"/>
  <c r="E494" i="3" s="1"/>
  <c r="E490" i="3" s="1"/>
  <c r="E488" i="3" s="1"/>
  <c r="H449" i="3"/>
  <c r="H448" i="3" s="1"/>
  <c r="G449" i="3"/>
  <c r="G448" i="3" s="1"/>
  <c r="F450" i="3"/>
  <c r="I450" i="3" s="1"/>
  <c r="E450" i="3"/>
  <c r="E449" i="3" s="1"/>
  <c r="F453" i="3"/>
  <c r="I453" i="3" s="1"/>
  <c r="E453" i="3"/>
  <c r="E452" i="3" s="1"/>
  <c r="F443" i="3"/>
  <c r="F442" i="3" s="1"/>
  <c r="I442" i="3" s="1"/>
  <c r="H442" i="3"/>
  <c r="J442" i="3" s="1"/>
  <c r="F440" i="3"/>
  <c r="E440" i="3"/>
  <c r="E439" i="3" s="1"/>
  <c r="F408" i="3"/>
  <c r="F407" i="3" s="1"/>
  <c r="I407" i="3" s="1"/>
  <c r="E408" i="3"/>
  <c r="E407" i="3" s="1"/>
  <c r="E406" i="3" s="1"/>
  <c r="E250" i="3"/>
  <c r="E249" i="3" s="1"/>
  <c r="E248" i="3" s="1"/>
  <c r="E244" i="3" s="1"/>
  <c r="F250" i="3"/>
  <c r="F249" i="3" s="1"/>
  <c r="I249" i="3" s="1"/>
  <c r="G248" i="3"/>
  <c r="G244" i="3" s="1"/>
  <c r="H248" i="3"/>
  <c r="H244" i="3" s="1"/>
  <c r="E164" i="3"/>
  <c r="E163" i="3" s="1"/>
  <c r="E162" i="3" s="1"/>
  <c r="E157" i="3"/>
  <c r="E156" i="3" s="1"/>
  <c r="E155" i="3" s="1"/>
  <c r="F233" i="3"/>
  <c r="E233" i="3"/>
  <c r="E232" i="3" s="1"/>
  <c r="E173" i="3"/>
  <c r="E172" i="3" s="1"/>
  <c r="E171" i="3" s="1"/>
  <c r="E167" i="3" s="1"/>
  <c r="H171" i="3"/>
  <c r="H162" i="3"/>
  <c r="J162" i="3" s="1"/>
  <c r="G171" i="3"/>
  <c r="G167" i="3" s="1"/>
  <c r="G162" i="3"/>
  <c r="F39" i="3"/>
  <c r="E39" i="3"/>
  <c r="E38" i="3" s="1"/>
  <c r="F35" i="3"/>
  <c r="E35" i="3"/>
  <c r="F33" i="3"/>
  <c r="I33" i="3" s="1"/>
  <c r="E33" i="3"/>
  <c r="F24" i="3"/>
  <c r="F20" i="3"/>
  <c r="I20" i="3" s="1"/>
  <c r="H16" i="3"/>
  <c r="F18" i="3"/>
  <c r="I18" i="3" s="1"/>
  <c r="E18" i="3"/>
  <c r="F92" i="3"/>
  <c r="E92" i="3"/>
  <c r="H284" i="3"/>
  <c r="H283" i="3" s="1"/>
  <c r="G284" i="3"/>
  <c r="G283" i="3" s="1"/>
  <c r="F285" i="3"/>
  <c r="F284" i="3" s="1"/>
  <c r="F283" i="3" s="1"/>
  <c r="E285" i="3"/>
  <c r="E284" i="3" s="1"/>
  <c r="E283" i="3" s="1"/>
  <c r="H393" i="3"/>
  <c r="H389" i="3" s="1"/>
  <c r="G393" i="3"/>
  <c r="G389" i="3" s="1"/>
  <c r="F394" i="3"/>
  <c r="F393" i="3" s="1"/>
  <c r="E394" i="3"/>
  <c r="E393" i="3"/>
  <c r="H484" i="3"/>
  <c r="H483" i="3" s="1"/>
  <c r="H479" i="3" s="1"/>
  <c r="H477" i="3" s="1"/>
  <c r="G484" i="3"/>
  <c r="F485" i="3"/>
  <c r="I485" i="3"/>
  <c r="E485" i="3"/>
  <c r="E484" i="3" s="1"/>
  <c r="E483" i="3" s="1"/>
  <c r="E479" i="3" s="1"/>
  <c r="E477" i="3" s="1"/>
  <c r="H472" i="3"/>
  <c r="G472" i="3"/>
  <c r="J472" i="3" s="1"/>
  <c r="F474" i="3"/>
  <c r="E474" i="3"/>
  <c r="E473" i="3" s="1"/>
  <c r="E472" i="3" s="1"/>
  <c r="H465" i="3"/>
  <c r="G465" i="3"/>
  <c r="F467" i="3"/>
  <c r="F466" i="3" s="1"/>
  <c r="I466" i="3" s="1"/>
  <c r="E467" i="3"/>
  <c r="E466" i="3" s="1"/>
  <c r="E465" i="3" s="1"/>
  <c r="H458" i="3"/>
  <c r="G458" i="3"/>
  <c r="F460" i="3"/>
  <c r="I460" i="3" s="1"/>
  <c r="E460" i="3"/>
  <c r="E459" i="3" s="1"/>
  <c r="E458" i="3" s="1"/>
  <c r="E443" i="3"/>
  <c r="E442" i="3" s="1"/>
  <c r="H431" i="3"/>
  <c r="G431" i="3"/>
  <c r="J431" i="3" s="1"/>
  <c r="F433" i="3"/>
  <c r="E433" i="3"/>
  <c r="E432" i="3" s="1"/>
  <c r="E431" i="3" s="1"/>
  <c r="F422" i="3"/>
  <c r="I422" i="3"/>
  <c r="E422" i="3"/>
  <c r="H418" i="3"/>
  <c r="G418" i="3"/>
  <c r="F420" i="3"/>
  <c r="F419" i="3" s="1"/>
  <c r="I419" i="3" s="1"/>
  <c r="E420" i="3"/>
  <c r="E419" i="3" s="1"/>
  <c r="H400" i="3"/>
  <c r="J400" i="3" s="1"/>
  <c r="G399" i="3"/>
  <c r="F401" i="3"/>
  <c r="I401" i="3" s="1"/>
  <c r="E401" i="3"/>
  <c r="E400" i="3" s="1"/>
  <c r="E399" i="3" s="1"/>
  <c r="F391" i="3"/>
  <c r="I391" i="3" s="1"/>
  <c r="E391" i="3"/>
  <c r="E390" i="3" s="1"/>
  <c r="H382" i="3"/>
  <c r="G382" i="3"/>
  <c r="F384" i="3"/>
  <c r="E384" i="3"/>
  <c r="E383" i="3" s="1"/>
  <c r="E382" i="3" s="1"/>
  <c r="H375" i="3"/>
  <c r="G375" i="3"/>
  <c r="F377" i="3"/>
  <c r="E377" i="3"/>
  <c r="E376" i="3"/>
  <c r="E375" i="3" s="1"/>
  <c r="H366" i="3"/>
  <c r="G366" i="3"/>
  <c r="F368" i="3"/>
  <c r="E368" i="3"/>
  <c r="E367" i="3" s="1"/>
  <c r="E366" i="3" s="1"/>
  <c r="H359" i="3"/>
  <c r="G359" i="3"/>
  <c r="F361" i="3"/>
  <c r="F360" i="3" s="1"/>
  <c r="F359" i="3" s="1"/>
  <c r="I359" i="3" s="1"/>
  <c r="E361" i="3"/>
  <c r="E360" i="3" s="1"/>
  <c r="E359" i="3" s="1"/>
  <c r="H351" i="3"/>
  <c r="G351" i="3"/>
  <c r="F353" i="3"/>
  <c r="I353" i="3" s="1"/>
  <c r="E353" i="3"/>
  <c r="E352" i="3" s="1"/>
  <c r="E351" i="3" s="1"/>
  <c r="F346" i="3"/>
  <c r="E346" i="3"/>
  <c r="H342" i="3"/>
  <c r="G342" i="3"/>
  <c r="F344" i="3"/>
  <c r="I344" i="3" s="1"/>
  <c r="E344" i="3"/>
  <c r="E343" i="3" s="1"/>
  <c r="E342" i="3" s="1"/>
  <c r="H331" i="3"/>
  <c r="H327" i="3" s="1"/>
  <c r="G331" i="3"/>
  <c r="G327" i="3" s="1"/>
  <c r="G325" i="3" s="1"/>
  <c r="F333" i="3"/>
  <c r="F332" i="3" s="1"/>
  <c r="F331" i="3" s="1"/>
  <c r="E333" i="3"/>
  <c r="E332" i="3" s="1"/>
  <c r="E331" i="3" s="1"/>
  <c r="E327" i="3" s="1"/>
  <c r="E325" i="3" s="1"/>
  <c r="F322" i="3"/>
  <c r="I322" i="3" s="1"/>
  <c r="E322" i="3"/>
  <c r="E319" i="3"/>
  <c r="F310" i="3"/>
  <c r="I310" i="3" s="1"/>
  <c r="E310" i="3"/>
  <c r="F308" i="3"/>
  <c r="E308" i="3"/>
  <c r="G290" i="3"/>
  <c r="F299" i="3"/>
  <c r="F298" i="3" s="1"/>
  <c r="I298" i="3" s="1"/>
  <c r="E299" i="3"/>
  <c r="E298" i="3" s="1"/>
  <c r="F295" i="3"/>
  <c r="I295" i="3" s="1"/>
  <c r="E295" i="3"/>
  <c r="F292" i="3"/>
  <c r="E292" i="3"/>
  <c r="F278" i="3"/>
  <c r="E278" i="3"/>
  <c r="E276" i="3"/>
  <c r="F273" i="3"/>
  <c r="I273" i="3" s="1"/>
  <c r="E273" i="3"/>
  <c r="E272" i="3" s="1"/>
  <c r="G259" i="3"/>
  <c r="G255" i="3" s="1"/>
  <c r="F264" i="3"/>
  <c r="I264" i="3" s="1"/>
  <c r="E264" i="3"/>
  <c r="H259" i="3"/>
  <c r="H255" i="3" s="1"/>
  <c r="F261" i="3"/>
  <c r="I261" i="3" s="1"/>
  <c r="E261" i="3"/>
  <c r="H239" i="3"/>
  <c r="G239" i="3"/>
  <c r="E241" i="3"/>
  <c r="E240" i="3" s="1"/>
  <c r="E239" i="3" s="1"/>
  <c r="F230" i="3"/>
  <c r="I230" i="3" s="1"/>
  <c r="E230" i="3"/>
  <c r="E229" i="3" s="1"/>
  <c r="H221" i="3"/>
  <c r="G221" i="3"/>
  <c r="F223" i="3"/>
  <c r="E223" i="3"/>
  <c r="E222" i="3" s="1"/>
  <c r="E221" i="3" s="1"/>
  <c r="H214" i="3"/>
  <c r="G214" i="3"/>
  <c r="F216" i="3"/>
  <c r="I216" i="3" s="1"/>
  <c r="E216" i="3"/>
  <c r="E215" i="3" s="1"/>
  <c r="E214" i="3" s="1"/>
  <c r="H203" i="3"/>
  <c r="G203" i="3"/>
  <c r="F205" i="3"/>
  <c r="I205" i="3" s="1"/>
  <c r="E205" i="3"/>
  <c r="E204" i="3" s="1"/>
  <c r="E203" i="3" s="1"/>
  <c r="E199" i="3" s="1"/>
  <c r="H194" i="3"/>
  <c r="G194" i="3"/>
  <c r="F196" i="3"/>
  <c r="E196" i="3"/>
  <c r="E195" i="3" s="1"/>
  <c r="E194" i="3" s="1"/>
  <c r="F189" i="3"/>
  <c r="I189" i="3" s="1"/>
  <c r="E189" i="3"/>
  <c r="E188" i="3" s="1"/>
  <c r="F185" i="3"/>
  <c r="I185" i="3" s="1"/>
  <c r="E185" i="3"/>
  <c r="E184" i="3" s="1"/>
  <c r="H148" i="3"/>
  <c r="H139" i="3"/>
  <c r="H135" i="3" s="1"/>
  <c r="G139" i="3"/>
  <c r="G135" i="3" s="1"/>
  <c r="F141" i="3"/>
  <c r="F140" i="3" s="1"/>
  <c r="E141" i="3"/>
  <c r="E140" i="3" s="1"/>
  <c r="E139" i="3" s="1"/>
  <c r="E135" i="3" s="1"/>
  <c r="F130" i="3"/>
  <c r="E130" i="3"/>
  <c r="E129" i="3" s="1"/>
  <c r="H126" i="3"/>
  <c r="H125" i="3" s="1"/>
  <c r="G126" i="3"/>
  <c r="G125" i="3" s="1"/>
  <c r="F127" i="3"/>
  <c r="F126" i="3" s="1"/>
  <c r="E127" i="3"/>
  <c r="E126" i="3" s="1"/>
  <c r="H118" i="3"/>
  <c r="G118" i="3"/>
  <c r="J118" i="3" s="1"/>
  <c r="F120" i="3"/>
  <c r="F119" i="3" s="1"/>
  <c r="E120" i="3"/>
  <c r="E119" i="3" s="1"/>
  <c r="E118" i="3" s="1"/>
  <c r="H111" i="3"/>
  <c r="G111" i="3"/>
  <c r="F113" i="3"/>
  <c r="F112" i="3" s="1"/>
  <c r="I112" i="3" s="1"/>
  <c r="E113" i="3"/>
  <c r="E112" i="3" s="1"/>
  <c r="E111" i="3" s="1"/>
  <c r="H101" i="3"/>
  <c r="G101" i="3"/>
  <c r="F103" i="3"/>
  <c r="E103" i="3"/>
  <c r="E102" i="3" s="1"/>
  <c r="E101" i="3" s="1"/>
  <c r="F94" i="3"/>
  <c r="F91" i="3" s="1"/>
  <c r="I91" i="3" s="1"/>
  <c r="E94" i="3"/>
  <c r="E84" i="3"/>
  <c r="F82" i="3"/>
  <c r="I82" i="3" s="1"/>
  <c r="E82" i="3"/>
  <c r="E73" i="3"/>
  <c r="F68" i="3"/>
  <c r="E68" i="3"/>
  <c r="F58" i="3"/>
  <c r="E58" i="3"/>
  <c r="E57" i="3" s="1"/>
  <c r="F54" i="3"/>
  <c r="I54" i="3" s="1"/>
  <c r="E54" i="3"/>
  <c r="G48" i="3"/>
  <c r="F52" i="3"/>
  <c r="I52" i="3" s="1"/>
  <c r="E52" i="3"/>
  <c r="H48" i="3"/>
  <c r="F50" i="3"/>
  <c r="E50" i="3"/>
  <c r="E24" i="3"/>
  <c r="E23" i="3" s="1"/>
  <c r="E20" i="3"/>
  <c r="K55" i="1"/>
  <c r="J93" i="1"/>
  <c r="L76" i="1"/>
  <c r="K76" i="1"/>
  <c r="J76" i="1"/>
  <c r="S107" i="1"/>
  <c r="J80" i="1"/>
  <c r="J67" i="1"/>
  <c r="M221" i="1"/>
  <c r="M220" i="1" s="1"/>
  <c r="M219" i="1" s="1"/>
  <c r="M28" i="1" s="1"/>
  <c r="M205" i="1"/>
  <c r="M204" i="1" s="1"/>
  <c r="M168" i="1"/>
  <c r="M139" i="1"/>
  <c r="M67" i="1"/>
  <c r="L221" i="1"/>
  <c r="L220" i="1" s="1"/>
  <c r="L219" i="1" s="1"/>
  <c r="L28" i="1" s="1"/>
  <c r="L205" i="1"/>
  <c r="L204" i="1" s="1"/>
  <c r="K205" i="1"/>
  <c r="K204" i="1" s="1"/>
  <c r="L194" i="1"/>
  <c r="L181" i="1"/>
  <c r="L177" i="1"/>
  <c r="L174" i="1"/>
  <c r="L173" i="1" s="1"/>
  <c r="L170" i="1"/>
  <c r="L161" i="1"/>
  <c r="L159" i="1"/>
  <c r="L158" i="1" s="1"/>
  <c r="L154" i="1"/>
  <c r="L153" i="1" s="1"/>
  <c r="L131" i="1"/>
  <c r="L129" i="1"/>
  <c r="L120" i="1"/>
  <c r="L114" i="1"/>
  <c r="L109" i="1"/>
  <c r="L105" i="1"/>
  <c r="L101" i="1"/>
  <c r="L98" i="1"/>
  <c r="L86" i="1"/>
  <c r="L85" i="1"/>
  <c r="L84" i="1"/>
  <c r="L83" i="1"/>
  <c r="L80" i="1"/>
  <c r="L79" i="1"/>
  <c r="L75" i="1"/>
  <c r="L67" i="1"/>
  <c r="L55" i="1"/>
  <c r="L50" i="1"/>
  <c r="L49" i="1"/>
  <c r="L40" i="1"/>
  <c r="K194" i="1"/>
  <c r="K181" i="1"/>
  <c r="K177" i="1"/>
  <c r="K174" i="1"/>
  <c r="K173" i="1" s="1"/>
  <c r="K170" i="1"/>
  <c r="K161" i="1"/>
  <c r="K159" i="1"/>
  <c r="K154" i="1"/>
  <c r="K153" i="1" s="1"/>
  <c r="K150" i="1"/>
  <c r="K149" i="1" s="1"/>
  <c r="K141" i="1"/>
  <c r="K139" i="1"/>
  <c r="K131" i="1"/>
  <c r="K129" i="1"/>
  <c r="K120" i="1"/>
  <c r="K114" i="1"/>
  <c r="K109" i="1"/>
  <c r="K105" i="1"/>
  <c r="K101" i="1"/>
  <c r="K98" i="1"/>
  <c r="K86" i="1"/>
  <c r="K84" i="1"/>
  <c r="K83" i="1"/>
  <c r="K80" i="1"/>
  <c r="K79" i="1"/>
  <c r="K75" i="1"/>
  <c r="K67" i="1"/>
  <c r="K52" i="1"/>
  <c r="K50" i="1"/>
  <c r="K49" i="1"/>
  <c r="K40" i="1"/>
  <c r="J221" i="1"/>
  <c r="J220" i="1" s="1"/>
  <c r="J194" i="1"/>
  <c r="J181" i="1"/>
  <c r="J177" i="1"/>
  <c r="J174" i="1"/>
  <c r="J173" i="1" s="1"/>
  <c r="J170" i="1"/>
  <c r="J163" i="1"/>
  <c r="J161" i="1"/>
  <c r="J159" i="1"/>
  <c r="J158" i="1" s="1"/>
  <c r="J154" i="1"/>
  <c r="J153" i="1" s="1"/>
  <c r="J150" i="1"/>
  <c r="J149" i="1" s="1"/>
  <c r="J141" i="1"/>
  <c r="J131" i="1"/>
  <c r="J120" i="1"/>
  <c r="J114" i="1"/>
  <c r="J109" i="1"/>
  <c r="J105" i="1"/>
  <c r="J103" i="1"/>
  <c r="J101" i="1"/>
  <c r="J98" i="1"/>
  <c r="J97" i="1" s="1"/>
  <c r="J96" i="1" s="1"/>
  <c r="J16" i="1" s="1"/>
  <c r="J86" i="1"/>
  <c r="J85" i="1"/>
  <c r="J84" i="1"/>
  <c r="J79" i="1"/>
  <c r="J75" i="1"/>
  <c r="J55" i="1"/>
  <c r="J53" i="1"/>
  <c r="J52" i="1"/>
  <c r="J50" i="1"/>
  <c r="J49" i="1"/>
  <c r="J40" i="1"/>
  <c r="L196" i="1"/>
  <c r="K196" i="1"/>
  <c r="J129" i="1"/>
  <c r="L189" i="1"/>
  <c r="K189" i="1"/>
  <c r="J189" i="1"/>
  <c r="K85" i="1"/>
  <c r="J83" i="1"/>
  <c r="L52" i="1"/>
  <c r="L53" i="1"/>
  <c r="K53" i="1"/>
  <c r="L168" i="1"/>
  <c r="K168" i="1"/>
  <c r="J168" i="1"/>
  <c r="K221" i="1"/>
  <c r="K220" i="1" s="1"/>
  <c r="K219" i="1" s="1"/>
  <c r="K28" i="1" s="1"/>
  <c r="M165" i="1"/>
  <c r="J165" i="1"/>
  <c r="K163" i="1"/>
  <c r="K165" i="1"/>
  <c r="L163" i="1"/>
  <c r="L165" i="1"/>
  <c r="J196" i="1"/>
  <c r="L103" i="1"/>
  <c r="L139" i="1"/>
  <c r="L141" i="1"/>
  <c r="L146" i="1"/>
  <c r="L145" i="1" s="1"/>
  <c r="L150" i="1"/>
  <c r="L149" i="1" s="1"/>
  <c r="K103" i="1"/>
  <c r="K146" i="1"/>
  <c r="K145" i="1" s="1"/>
  <c r="J139" i="1"/>
  <c r="J146" i="1"/>
  <c r="J145" i="1" s="1"/>
  <c r="L214" i="1"/>
  <c r="M212" i="1"/>
  <c r="L212" i="1"/>
  <c r="M209" i="1"/>
  <c r="M208" i="1" s="1"/>
  <c r="L209" i="1"/>
  <c r="L208" i="1" s="1"/>
  <c r="M202" i="1"/>
  <c r="M201" i="1" s="1"/>
  <c r="L202" i="1"/>
  <c r="L201" i="1" s="1"/>
  <c r="K214" i="1"/>
  <c r="K212" i="1"/>
  <c r="K209" i="1"/>
  <c r="K208" i="1" s="1"/>
  <c r="K202" i="1"/>
  <c r="K201" i="1" s="1"/>
  <c r="J214" i="1"/>
  <c r="J212" i="1"/>
  <c r="J209" i="1"/>
  <c r="J208" i="1" s="1"/>
  <c r="J205" i="1"/>
  <c r="J204" i="1" s="1"/>
  <c r="J202" i="1"/>
  <c r="J201" i="1" s="1"/>
  <c r="H306" i="3"/>
  <c r="J452" i="3"/>
  <c r="H183" i="3"/>
  <c r="H178" i="3" s="1"/>
  <c r="G271" i="3"/>
  <c r="J271" i="3" s="1"/>
  <c r="H228" i="3"/>
  <c r="G183" i="3"/>
  <c r="H271" i="3"/>
  <c r="H290" i="3"/>
  <c r="J290" i="3" s="1"/>
  <c r="G66" i="3"/>
  <c r="G16" i="3"/>
  <c r="G438" i="3"/>
  <c r="G31" i="3"/>
  <c r="G27" i="3" s="1"/>
  <c r="J27" i="3" s="1"/>
  <c r="H66" i="3"/>
  <c r="G317" i="3"/>
  <c r="G313" i="3" s="1"/>
  <c r="G306" i="3"/>
  <c r="G302" i="3" s="1"/>
  <c r="F410" i="3"/>
  <c r="I141" i="3"/>
  <c r="H399" i="3"/>
  <c r="F272" i="3"/>
  <c r="I272" i="3" s="1"/>
  <c r="F484" i="3"/>
  <c r="I484" i="3" s="1"/>
  <c r="F439" i="3"/>
  <c r="I439" i="3" s="1"/>
  <c r="I440" i="3"/>
  <c r="L70" i="1"/>
  <c r="J70" i="1"/>
  <c r="M82" i="1"/>
  <c r="J418" i="3"/>
  <c r="K70" i="1"/>
  <c r="I346" i="3"/>
  <c r="H490" i="3"/>
  <c r="H488" i="3" s="1"/>
  <c r="J48" i="3"/>
  <c r="M51" i="1"/>
  <c r="I384" i="3"/>
  <c r="F383" i="3"/>
  <c r="F382" i="3" s="1"/>
  <c r="M48" i="1"/>
  <c r="M40" i="1"/>
  <c r="F397" i="4"/>
  <c r="F192" i="4"/>
  <c r="F191" i="4" s="1"/>
  <c r="F190" i="4" s="1"/>
  <c r="F343" i="3"/>
  <c r="F215" i="3"/>
  <c r="I215" i="3" s="1"/>
  <c r="F139" i="3"/>
  <c r="F135" i="3" s="1"/>
  <c r="I140" i="3"/>
  <c r="G12" i="3"/>
  <c r="G483" i="3"/>
  <c r="G199" i="3"/>
  <c r="J359" i="3"/>
  <c r="F48" i="4"/>
  <c r="M86" i="1"/>
  <c r="M159" i="1"/>
  <c r="I250" i="3"/>
  <c r="F449" i="3"/>
  <c r="F229" i="3" l="1"/>
  <c r="I229" i="3" s="1"/>
  <c r="J313" i="3"/>
  <c r="F318" i="3"/>
  <c r="F317" i="3" s="1"/>
  <c r="J331" i="3"/>
  <c r="J317" i="3"/>
  <c r="F148" i="3"/>
  <c r="I443" i="3"/>
  <c r="I361" i="3"/>
  <c r="E91" i="3"/>
  <c r="P220" i="1"/>
  <c r="P219" i="1" s="1"/>
  <c r="P28" i="1" s="1"/>
  <c r="I383" i="3"/>
  <c r="F465" i="3"/>
  <c r="I465" i="3" s="1"/>
  <c r="F260" i="3"/>
  <c r="I120" i="3"/>
  <c r="I113" i="3"/>
  <c r="F275" i="3"/>
  <c r="I275" i="3" s="1"/>
  <c r="E307" i="3"/>
  <c r="E306" i="3" s="1"/>
  <c r="E302" i="3" s="1"/>
  <c r="E318" i="3"/>
  <c r="E317" i="3" s="1"/>
  <c r="E313" i="3" s="1"/>
  <c r="J244" i="3"/>
  <c r="G144" i="3"/>
  <c r="J406" i="3"/>
  <c r="P111" i="1"/>
  <c r="P105" i="1"/>
  <c r="P113" i="1"/>
  <c r="P117" i="1"/>
  <c r="P115" i="1"/>
  <c r="P137" i="1"/>
  <c r="N68" i="4"/>
  <c r="P171" i="1"/>
  <c r="P170" i="1" s="1"/>
  <c r="P101" i="1"/>
  <c r="E17" i="3"/>
  <c r="E16" i="3" s="1"/>
  <c r="E12" i="3" s="1"/>
  <c r="J183" i="3"/>
  <c r="F111" i="3"/>
  <c r="I111" i="3" s="1"/>
  <c r="F483" i="3"/>
  <c r="F479" i="3" s="1"/>
  <c r="F477" i="3" s="1"/>
  <c r="F459" i="3"/>
  <c r="I459" i="3" s="1"/>
  <c r="F204" i="3"/>
  <c r="F203" i="3" s="1"/>
  <c r="I203" i="3" s="1"/>
  <c r="I278" i="3"/>
  <c r="F172" i="3"/>
  <c r="I172" i="3" s="1"/>
  <c r="I467" i="3"/>
  <c r="G178" i="3"/>
  <c r="E49" i="3"/>
  <c r="E48" i="3" s="1"/>
  <c r="F248" i="3"/>
  <c r="F244" i="3" s="1"/>
  <c r="I244" i="3" s="1"/>
  <c r="I333" i="3"/>
  <c r="I408" i="3"/>
  <c r="F188" i="3"/>
  <c r="I188" i="3" s="1"/>
  <c r="I496" i="3"/>
  <c r="J66" i="3"/>
  <c r="J125" i="3"/>
  <c r="J255" i="3"/>
  <c r="F551" i="4"/>
  <c r="F541" i="4" s="1"/>
  <c r="S179" i="1"/>
  <c r="E125" i="3"/>
  <c r="H438" i="3"/>
  <c r="F352" i="3"/>
  <c r="I352" i="3" s="1"/>
  <c r="J139" i="3"/>
  <c r="J155" i="3"/>
  <c r="J228" i="3"/>
  <c r="F438" i="3"/>
  <c r="I438" i="3" s="1"/>
  <c r="I299" i="3"/>
  <c r="J31" i="3"/>
  <c r="F214" i="3"/>
  <c r="I214" i="3" s="1"/>
  <c r="I420" i="3"/>
  <c r="F184" i="3"/>
  <c r="I184" i="3" s="1"/>
  <c r="H144" i="3"/>
  <c r="J351" i="3"/>
  <c r="J16" i="3"/>
  <c r="J135" i="3"/>
  <c r="E275" i="3"/>
  <c r="E418" i="3"/>
  <c r="E144" i="3"/>
  <c r="E133" i="3" s="1"/>
  <c r="P196" i="1"/>
  <c r="N132" i="1"/>
  <c r="P129" i="1"/>
  <c r="P161" i="1"/>
  <c r="P174" i="1"/>
  <c r="P173" i="1" s="1"/>
  <c r="P163" i="1"/>
  <c r="P141" i="1"/>
  <c r="P138" i="1" s="1"/>
  <c r="N393" i="4"/>
  <c r="N392" i="4"/>
  <c r="G479" i="3"/>
  <c r="G477" i="3" s="1"/>
  <c r="I148" i="3"/>
  <c r="I360" i="3"/>
  <c r="F458" i="3"/>
  <c r="I458" i="3" s="1"/>
  <c r="F271" i="3"/>
  <c r="I271" i="3" s="1"/>
  <c r="J178" i="3"/>
  <c r="J144" i="3"/>
  <c r="I377" i="3"/>
  <c r="F376" i="3"/>
  <c r="F313" i="3"/>
  <c r="I313" i="3" s="1"/>
  <c r="I317" i="3"/>
  <c r="F23" i="3"/>
  <c r="I23" i="3" s="1"/>
  <c r="I24" i="3"/>
  <c r="I35" i="3"/>
  <c r="F32" i="3"/>
  <c r="I32" i="3" s="1"/>
  <c r="I343" i="3"/>
  <c r="F342" i="3"/>
  <c r="I342" i="3" s="1"/>
  <c r="F129" i="3"/>
  <c r="F125" i="3" s="1"/>
  <c r="I125" i="3" s="1"/>
  <c r="I130" i="3"/>
  <c r="I196" i="3"/>
  <c r="F195" i="3"/>
  <c r="I195" i="3" s="1"/>
  <c r="I204" i="3"/>
  <c r="J248" i="3"/>
  <c r="I318" i="3"/>
  <c r="F400" i="3"/>
  <c r="F17" i="3"/>
  <c r="F16" i="3" s="1"/>
  <c r="I68" i="3"/>
  <c r="F67" i="3"/>
  <c r="I67" i="3" s="1"/>
  <c r="I103" i="3"/>
  <c r="F102" i="3"/>
  <c r="F118" i="3"/>
  <c r="I118" i="3" s="1"/>
  <c r="I119" i="3"/>
  <c r="F291" i="3"/>
  <c r="F290" i="3" s="1"/>
  <c r="I290" i="3" s="1"/>
  <c r="I292" i="3"/>
  <c r="J366" i="3"/>
  <c r="F432" i="3"/>
  <c r="I433" i="3"/>
  <c r="E228" i="3"/>
  <c r="E210" i="3" s="1"/>
  <c r="E208" i="3" s="1"/>
  <c r="J342" i="3"/>
  <c r="J448" i="3"/>
  <c r="E67" i="3"/>
  <c r="E66" i="3" s="1"/>
  <c r="H44" i="3"/>
  <c r="H42" i="3" s="1"/>
  <c r="E183" i="3"/>
  <c r="E178" i="3" s="1"/>
  <c r="E338" i="3"/>
  <c r="H371" i="3"/>
  <c r="E448" i="3"/>
  <c r="J389" i="3"/>
  <c r="H414" i="3"/>
  <c r="F452" i="3"/>
  <c r="I452" i="3" s="1"/>
  <c r="H12" i="3"/>
  <c r="H10" i="3" s="1"/>
  <c r="J259" i="3"/>
  <c r="I150" i="3"/>
  <c r="H338" i="3"/>
  <c r="I285" i="3"/>
  <c r="H210" i="3"/>
  <c r="H208" i="3" s="1"/>
  <c r="E260" i="3"/>
  <c r="E259" i="3" s="1"/>
  <c r="E255" i="3" s="1"/>
  <c r="J465" i="3"/>
  <c r="E32" i="3"/>
  <c r="N137" i="1"/>
  <c r="F66" i="3"/>
  <c r="I66" i="3" s="1"/>
  <c r="H336" i="3"/>
  <c r="F473" i="3"/>
  <c r="I474" i="3"/>
  <c r="I233" i="3"/>
  <c r="F232" i="3"/>
  <c r="I232" i="3" s="1"/>
  <c r="I241" i="3"/>
  <c r="F240" i="3"/>
  <c r="G176" i="3"/>
  <c r="F390" i="3"/>
  <c r="I410" i="3"/>
  <c r="F406" i="3"/>
  <c r="I406" i="3" s="1"/>
  <c r="H302" i="3"/>
  <c r="J302" i="3" s="1"/>
  <c r="J306" i="3"/>
  <c r="H199" i="3"/>
  <c r="H176" i="3" s="1"/>
  <c r="J203" i="3"/>
  <c r="G210" i="3"/>
  <c r="G208" i="3" s="1"/>
  <c r="J208" i="3" s="1"/>
  <c r="J214" i="3"/>
  <c r="F327" i="3"/>
  <c r="I331" i="3"/>
  <c r="I368" i="3"/>
  <c r="F367" i="3"/>
  <c r="G267" i="3"/>
  <c r="G253" i="3" s="1"/>
  <c r="I283" i="3"/>
  <c r="I39" i="3"/>
  <c r="F38" i="3"/>
  <c r="H167" i="3"/>
  <c r="J167" i="3" s="1"/>
  <c r="J171" i="3"/>
  <c r="I164" i="3"/>
  <c r="F163" i="3"/>
  <c r="I157" i="3"/>
  <c r="F156" i="3"/>
  <c r="I449" i="3"/>
  <c r="J148" i="3"/>
  <c r="I260" i="3"/>
  <c r="F259" i="3"/>
  <c r="I332" i="3"/>
  <c r="J399" i="3"/>
  <c r="G414" i="3"/>
  <c r="E389" i="3"/>
  <c r="E371" i="3" s="1"/>
  <c r="H267" i="3"/>
  <c r="E31" i="3"/>
  <c r="E27" i="3" s="1"/>
  <c r="E438" i="3"/>
  <c r="I495" i="3"/>
  <c r="F494" i="3"/>
  <c r="F490" i="3" s="1"/>
  <c r="F488" i="3" s="1"/>
  <c r="I425" i="3"/>
  <c r="F424" i="3"/>
  <c r="F57" i="3"/>
  <c r="I57" i="3" s="1"/>
  <c r="I58" i="3"/>
  <c r="G44" i="3"/>
  <c r="J111" i="3"/>
  <c r="I223" i="3"/>
  <c r="F222" i="3"/>
  <c r="I308" i="3"/>
  <c r="F307" i="3"/>
  <c r="J382" i="3"/>
  <c r="I382" i="3"/>
  <c r="G371" i="3"/>
  <c r="I94" i="3"/>
  <c r="J101" i="3"/>
  <c r="F49" i="3"/>
  <c r="I50" i="3"/>
  <c r="J327" i="3"/>
  <c r="H325" i="3"/>
  <c r="J325" i="3" s="1"/>
  <c r="G490" i="3"/>
  <c r="J494" i="3"/>
  <c r="O93" i="1"/>
  <c r="S93" i="1" s="1"/>
  <c r="S94" i="1"/>
  <c r="N367" i="4"/>
  <c r="J239" i="3"/>
  <c r="E271" i="3"/>
  <c r="J458" i="3"/>
  <c r="I284" i="3"/>
  <c r="I123" i="4"/>
  <c r="M124" i="4"/>
  <c r="I328" i="4"/>
  <c r="M328" i="4" s="1"/>
  <c r="M329" i="4"/>
  <c r="S220" i="1"/>
  <c r="G133" i="3"/>
  <c r="I135" i="3"/>
  <c r="J194" i="3"/>
  <c r="I249" i="4"/>
  <c r="M250" i="4"/>
  <c r="O161" i="1"/>
  <c r="S161" i="1" s="1"/>
  <c r="S162" i="1"/>
  <c r="J650" i="4"/>
  <c r="J438" i="3"/>
  <c r="E291" i="3"/>
  <c r="E290" i="3" s="1"/>
  <c r="G338" i="3"/>
  <c r="O90" i="1"/>
  <c r="S90" i="1" s="1"/>
  <c r="S91" i="1"/>
  <c r="O129" i="1"/>
  <c r="S129" i="1" s="1"/>
  <c r="S130" i="1"/>
  <c r="O163" i="1"/>
  <c r="S163" i="1" s="1"/>
  <c r="S164" i="1"/>
  <c r="O174" i="1"/>
  <c r="S175" i="1"/>
  <c r="N555" i="4"/>
  <c r="N188" i="4"/>
  <c r="N287" i="4"/>
  <c r="O96" i="1"/>
  <c r="S97" i="1"/>
  <c r="O170" i="1"/>
  <c r="S170" i="1" s="1"/>
  <c r="S171" i="1"/>
  <c r="N293" i="4"/>
  <c r="J286" i="4"/>
  <c r="N286" i="4" s="1"/>
  <c r="J253" i="4"/>
  <c r="N253" i="4" s="1"/>
  <c r="N256" i="4"/>
  <c r="N489" i="4"/>
  <c r="N467" i="4"/>
  <c r="N416" i="4"/>
  <c r="N208" i="4"/>
  <c r="J207" i="4"/>
  <c r="N207" i="4" s="1"/>
  <c r="N313" i="4"/>
  <c r="N306" i="4"/>
  <c r="N300" i="4"/>
  <c r="J299" i="4"/>
  <c r="N299" i="4" s="1"/>
  <c r="N194" i="4"/>
  <c r="J90" i="4"/>
  <c r="N90" i="4" s="1"/>
  <c r="N91" i="4"/>
  <c r="T138" i="1"/>
  <c r="J9" i="4"/>
  <c r="Q15" i="1"/>
  <c r="T15" i="1" s="1"/>
  <c r="T38" i="1"/>
  <c r="O105" i="1"/>
  <c r="S105" i="1" s="1"/>
  <c r="S106" i="1"/>
  <c r="O101" i="1"/>
  <c r="S101" i="1" s="1"/>
  <c r="S102" i="1"/>
  <c r="J141" i="4"/>
  <c r="N142" i="4"/>
  <c r="N355" i="4"/>
  <c r="J277" i="4"/>
  <c r="N277" i="4" s="1"/>
  <c r="N70" i="4"/>
  <c r="N84" i="4"/>
  <c r="N114" i="4"/>
  <c r="J113" i="4"/>
  <c r="J126" i="4"/>
  <c r="N129" i="4"/>
  <c r="N239" i="4"/>
  <c r="J260" i="4"/>
  <c r="N260" i="4" s="1"/>
  <c r="N267" i="4"/>
  <c r="N405" i="4"/>
  <c r="N518" i="4"/>
  <c r="J200" i="4"/>
  <c r="N200" i="4" s="1"/>
  <c r="N201" i="4"/>
  <c r="N531" i="4"/>
  <c r="I528" i="4"/>
  <c r="I527" i="4" s="1"/>
  <c r="I526" i="4" s="1"/>
  <c r="F179" i="4"/>
  <c r="F178" i="4" s="1"/>
  <c r="F171" i="4" s="1"/>
  <c r="F170" i="4" s="1"/>
  <c r="F169" i="4" s="1"/>
  <c r="F165" i="4" s="1"/>
  <c r="G177" i="4"/>
  <c r="P39" i="1"/>
  <c r="N171" i="1"/>
  <c r="N170" i="1" s="1"/>
  <c r="N117" i="1"/>
  <c r="N184" i="1"/>
  <c r="N113" i="1"/>
  <c r="N118" i="1"/>
  <c r="N124" i="1"/>
  <c r="N128" i="1"/>
  <c r="N116" i="1"/>
  <c r="N148" i="1"/>
  <c r="N146" i="1" s="1"/>
  <c r="N145" i="1" s="1"/>
  <c r="N111" i="1"/>
  <c r="N126" i="1"/>
  <c r="N155" i="1"/>
  <c r="N130" i="1"/>
  <c r="N129" i="1" s="1"/>
  <c r="N164" i="1"/>
  <c r="N163" i="1" s="1"/>
  <c r="N190" i="1"/>
  <c r="N189" i="1" s="1"/>
  <c r="N186" i="1"/>
  <c r="N179" i="1"/>
  <c r="N104" i="1"/>
  <c r="N103" i="1" s="1"/>
  <c r="N123" i="1"/>
  <c r="N134" i="1"/>
  <c r="N156" i="1"/>
  <c r="N125" i="1"/>
  <c r="N195" i="1"/>
  <c r="N194" i="1" s="1"/>
  <c r="N193" i="1" s="1"/>
  <c r="P184" i="1"/>
  <c r="N180" i="1"/>
  <c r="N102" i="1"/>
  <c r="N101" i="1" s="1"/>
  <c r="N159" i="1"/>
  <c r="N158" i="1" s="1"/>
  <c r="N115" i="1"/>
  <c r="N133" i="1"/>
  <c r="N152" i="1"/>
  <c r="N150" i="1" s="1"/>
  <c r="N149" i="1" s="1"/>
  <c r="N106" i="1"/>
  <c r="N105" i="1" s="1"/>
  <c r="O109" i="1"/>
  <c r="S109" i="1" s="1"/>
  <c r="O154" i="1"/>
  <c r="O211" i="1"/>
  <c r="O207" i="1" s="1"/>
  <c r="O24" i="1" s="1"/>
  <c r="O66" i="1"/>
  <c r="S66" i="1" s="1"/>
  <c r="P211" i="1"/>
  <c r="P207" i="1" s="1"/>
  <c r="P24" i="1" s="1"/>
  <c r="O200" i="1"/>
  <c r="O23" i="1" s="1"/>
  <c r="P200" i="1"/>
  <c r="P23" i="1" s="1"/>
  <c r="O146" i="1"/>
  <c r="O181" i="1"/>
  <c r="S181" i="1" s="1"/>
  <c r="P77" i="1"/>
  <c r="P66" i="1"/>
  <c r="P54" i="1"/>
  <c r="O39" i="1"/>
  <c r="S39" i="1" s="1"/>
  <c r="N122" i="1"/>
  <c r="O54" i="1"/>
  <c r="S54" i="1" s="1"/>
  <c r="O77" i="1"/>
  <c r="S77" i="1" s="1"/>
  <c r="O114" i="1"/>
  <c r="S114" i="1" s="1"/>
  <c r="O141" i="1"/>
  <c r="M200" i="1"/>
  <c r="M23" i="1" s="1"/>
  <c r="N211" i="1"/>
  <c r="N207" i="1" s="1"/>
  <c r="N24" i="1" s="1"/>
  <c r="L138" i="1"/>
  <c r="N77" i="1"/>
  <c r="K66" i="1"/>
  <c r="K61" i="1" s="1"/>
  <c r="K58" i="1" s="1"/>
  <c r="K54" i="1" s="1"/>
  <c r="N141" i="1"/>
  <c r="N138" i="1" s="1"/>
  <c r="N66" i="1"/>
  <c r="N39" i="1"/>
  <c r="N54" i="1"/>
  <c r="N200" i="1"/>
  <c r="N23" i="1" s="1"/>
  <c r="M39" i="1"/>
  <c r="I138" i="4"/>
  <c r="I137" i="4" s="1"/>
  <c r="I136" i="4" s="1"/>
  <c r="I133" i="4" s="1"/>
  <c r="I420" i="4"/>
  <c r="G18" i="4"/>
  <c r="I471" i="4"/>
  <c r="M447" i="4"/>
  <c r="G16" i="4"/>
  <c r="G82" i="4"/>
  <c r="G81" i="4" s="1"/>
  <c r="G80" i="4" s="1"/>
  <c r="G76" i="4" s="1"/>
  <c r="I82" i="4"/>
  <c r="G118" i="4"/>
  <c r="G117" i="4" s="1"/>
  <c r="G116" i="4" s="1"/>
  <c r="I118" i="4"/>
  <c r="G198" i="4"/>
  <c r="G197" i="4" s="1"/>
  <c r="G196" i="4" s="1"/>
  <c r="I198" i="4"/>
  <c r="G237" i="4"/>
  <c r="G236" i="4" s="1"/>
  <c r="G235" i="4" s="1"/>
  <c r="I237" i="4"/>
  <c r="O150" i="1"/>
  <c r="G284" i="4"/>
  <c r="I284" i="4"/>
  <c r="M284" i="4" s="1"/>
  <c r="G310" i="4"/>
  <c r="G309" i="4" s="1"/>
  <c r="G308" i="4" s="1"/>
  <c r="I310" i="4"/>
  <c r="G353" i="4"/>
  <c r="G352" i="4" s="1"/>
  <c r="G351" i="4" s="1"/>
  <c r="I353" i="4"/>
  <c r="G373" i="4"/>
  <c r="I373" i="4"/>
  <c r="I397" i="4"/>
  <c r="G397" i="4"/>
  <c r="G396" i="4" s="1"/>
  <c r="G395" i="4" s="1"/>
  <c r="G453" i="4"/>
  <c r="G452" i="4" s="1"/>
  <c r="G451" i="4" s="1"/>
  <c r="I453" i="4"/>
  <c r="G522" i="4"/>
  <c r="G521" i="4" s="1"/>
  <c r="G520" i="4" s="1"/>
  <c r="G515" i="4" s="1"/>
  <c r="G626" i="4"/>
  <c r="G622" i="4" s="1"/>
  <c r="G643" i="4"/>
  <c r="G664" i="4"/>
  <c r="G663" i="4" s="1"/>
  <c r="G503" i="4"/>
  <c r="G496" i="4" s="1"/>
  <c r="I21" i="4"/>
  <c r="I37" i="4"/>
  <c r="M37" i="4" s="1"/>
  <c r="I62" i="4"/>
  <c r="I61" i="4" s="1"/>
  <c r="I95" i="4"/>
  <c r="I54" i="4"/>
  <c r="I218" i="4"/>
  <c r="I217" i="4" s="1"/>
  <c r="I271" i="4"/>
  <c r="I325" i="4"/>
  <c r="G243" i="4"/>
  <c r="G242" i="4" s="1"/>
  <c r="G241" i="4" s="1"/>
  <c r="I243" i="4"/>
  <c r="G291" i="4"/>
  <c r="G290" i="4" s="1"/>
  <c r="G289" i="4" s="1"/>
  <c r="I291" i="4"/>
  <c r="G317" i="4"/>
  <c r="G316" i="4" s="1"/>
  <c r="G315" i="4" s="1"/>
  <c r="I317" i="4"/>
  <c r="G335" i="4"/>
  <c r="G334" i="4" s="1"/>
  <c r="G333" i="4" s="1"/>
  <c r="G359" i="4"/>
  <c r="G358" i="4" s="1"/>
  <c r="G357" i="4" s="1"/>
  <c r="I359" i="4"/>
  <c r="G403" i="4"/>
  <c r="G402" i="4" s="1"/>
  <c r="G401" i="4" s="1"/>
  <c r="I403" i="4"/>
  <c r="G427" i="4"/>
  <c r="G426" i="4" s="1"/>
  <c r="G425" i="4" s="1"/>
  <c r="I427" i="4"/>
  <c r="I426" i="4" s="1"/>
  <c r="I425" i="4" s="1"/>
  <c r="G535" i="4"/>
  <c r="G534" i="4" s="1"/>
  <c r="G533" i="4" s="1"/>
  <c r="G648" i="4"/>
  <c r="I74" i="4"/>
  <c r="I88" i="4"/>
  <c r="I212" i="4"/>
  <c r="I258" i="4"/>
  <c r="M629" i="4"/>
  <c r="G146" i="4"/>
  <c r="G145" i="4" s="1"/>
  <c r="G144" i="4" s="1"/>
  <c r="G141" i="4" s="1"/>
  <c r="I146" i="4"/>
  <c r="G225" i="4"/>
  <c r="G224" i="4" s="1"/>
  <c r="I225" i="4"/>
  <c r="G265" i="4"/>
  <c r="G264" i="4" s="1"/>
  <c r="G263" i="4" s="1"/>
  <c r="I265" i="4"/>
  <c r="G297" i="4"/>
  <c r="G296" i="4" s="1"/>
  <c r="G295" i="4" s="1"/>
  <c r="I297" i="4"/>
  <c r="G341" i="4"/>
  <c r="G340" i="4" s="1"/>
  <c r="G339" i="4" s="1"/>
  <c r="I341" i="4"/>
  <c r="G365" i="4"/>
  <c r="G364" i="4" s="1"/>
  <c r="G363" i="4" s="1"/>
  <c r="I365" i="4"/>
  <c r="G445" i="4"/>
  <c r="G444" i="4" s="1"/>
  <c r="G443" i="4" s="1"/>
  <c r="I445" i="4"/>
  <c r="M445" i="4" s="1"/>
  <c r="G559" i="4"/>
  <c r="G558" i="4" s="1"/>
  <c r="G557" i="4" s="1"/>
  <c r="G633" i="4"/>
  <c r="G632" i="4" s="1"/>
  <c r="M633" i="4"/>
  <c r="G655" i="4"/>
  <c r="M655" i="4"/>
  <c r="I131" i="4"/>
  <c r="I205" i="4"/>
  <c r="G192" i="4"/>
  <c r="G191" i="4" s="1"/>
  <c r="G190" i="4" s="1"/>
  <c r="I192" i="4"/>
  <c r="G231" i="4"/>
  <c r="G230" i="4" s="1"/>
  <c r="G229" i="4" s="1"/>
  <c r="G282" i="4"/>
  <c r="I282" i="4"/>
  <c r="M282" i="4" s="1"/>
  <c r="G304" i="4"/>
  <c r="G303" i="4" s="1"/>
  <c r="G302" i="4" s="1"/>
  <c r="I304" i="4"/>
  <c r="G347" i="4"/>
  <c r="G346" i="4" s="1"/>
  <c r="G345" i="4" s="1"/>
  <c r="I347" i="4"/>
  <c r="G371" i="4"/>
  <c r="M371" i="4"/>
  <c r="G660" i="4"/>
  <c r="I14" i="4"/>
  <c r="M14" i="4" s="1"/>
  <c r="I46" i="4"/>
  <c r="M46" i="4" s="1"/>
  <c r="O132" i="1"/>
  <c r="M623" i="4"/>
  <c r="G124" i="4"/>
  <c r="G123" i="4" s="1"/>
  <c r="G122" i="4" s="1"/>
  <c r="G274" i="4"/>
  <c r="G138" i="4"/>
  <c r="G137" i="4" s="1"/>
  <c r="G136" i="4" s="1"/>
  <c r="G133" i="4" s="1"/>
  <c r="G528" i="4"/>
  <c r="G527" i="4" s="1"/>
  <c r="G526" i="4" s="1"/>
  <c r="G250" i="4"/>
  <c r="G249" i="4" s="1"/>
  <c r="G248" i="4" s="1"/>
  <c r="F224" i="4"/>
  <c r="F223" i="4" s="1"/>
  <c r="G30" i="4"/>
  <c r="G54" i="4"/>
  <c r="G53" i="4" s="1"/>
  <c r="G420" i="4"/>
  <c r="G419" i="4" s="1"/>
  <c r="G418" i="4" s="1"/>
  <c r="G414" i="4" s="1"/>
  <c r="G409" i="4" s="1"/>
  <c r="G408" i="4" s="1"/>
  <c r="G407" i="4" s="1"/>
  <c r="F281" i="4"/>
  <c r="F280" i="4" s="1"/>
  <c r="F277" i="4" s="1"/>
  <c r="G103" i="4"/>
  <c r="G102" i="4" s="1"/>
  <c r="G99" i="4" s="1"/>
  <c r="G21" i="4"/>
  <c r="G20" i="4" s="1"/>
  <c r="G37" i="4"/>
  <c r="G62" i="4"/>
  <c r="G61" i="4" s="1"/>
  <c r="G60" i="4" s="1"/>
  <c r="G95" i="4"/>
  <c r="G94" i="4" s="1"/>
  <c r="G93" i="4" s="1"/>
  <c r="G90" i="4" s="1"/>
  <c r="G48" i="4"/>
  <c r="G218" i="4"/>
  <c r="G217" i="4" s="1"/>
  <c r="G216" i="4" s="1"/>
  <c r="G207" i="4" s="1"/>
  <c r="G271" i="4"/>
  <c r="G325" i="4"/>
  <c r="G324" i="4" s="1"/>
  <c r="G323" i="4" s="1"/>
  <c r="E29" i="4"/>
  <c r="E28" i="4" s="1"/>
  <c r="E9" i="4" s="1"/>
  <c r="F53" i="4"/>
  <c r="F654" i="4"/>
  <c r="F653" i="4" s="1"/>
  <c r="F650" i="4" s="1"/>
  <c r="F521" i="4"/>
  <c r="F130" i="4"/>
  <c r="F340" i="4"/>
  <c r="F13" i="4"/>
  <c r="M150" i="1"/>
  <c r="M149" i="1" s="1"/>
  <c r="N667" i="4"/>
  <c r="M189" i="1"/>
  <c r="F370" i="4"/>
  <c r="F369" i="4" s="1"/>
  <c r="F632" i="4"/>
  <c r="F296" i="4"/>
  <c r="F295" i="4" s="1"/>
  <c r="F418" i="4"/>
  <c r="F414" i="4" s="1"/>
  <c r="F409" i="4" s="1"/>
  <c r="F408" i="4" s="1"/>
  <c r="F407" i="4" s="1"/>
  <c r="F622" i="4"/>
  <c r="F444" i="4"/>
  <c r="F443" i="4" s="1"/>
  <c r="F323" i="4"/>
  <c r="F29" i="4"/>
  <c r="F113" i="4"/>
  <c r="F316" i="4"/>
  <c r="F315" i="4" s="1"/>
  <c r="F504" i="4"/>
  <c r="F20" i="4"/>
  <c r="F642" i="4"/>
  <c r="F363" i="4"/>
  <c r="F264" i="4"/>
  <c r="M174" i="1"/>
  <c r="F299" i="4"/>
  <c r="F270" i="4"/>
  <c r="F269" i="4" s="1"/>
  <c r="M177" i="1"/>
  <c r="F207" i="4"/>
  <c r="F396" i="4"/>
  <c r="F103" i="4"/>
  <c r="F102" i="4" s="1"/>
  <c r="F99" i="4" s="1"/>
  <c r="K193" i="1"/>
  <c r="K100" i="1"/>
  <c r="L78" i="1"/>
  <c r="M103" i="1"/>
  <c r="J138" i="1"/>
  <c r="K51" i="1"/>
  <c r="K82" i="1"/>
  <c r="M181" i="1"/>
  <c r="M161" i="1"/>
  <c r="J200" i="1"/>
  <c r="J23" i="1" s="1"/>
  <c r="J157" i="1"/>
  <c r="K48" i="1"/>
  <c r="K200" i="1"/>
  <c r="K23" i="1" s="1"/>
  <c r="J48" i="1"/>
  <c r="K108" i="1"/>
  <c r="J193" i="1"/>
  <c r="J66" i="1"/>
  <c r="J61" i="1" s="1"/>
  <c r="J58" i="1" s="1"/>
  <c r="J54" i="1" s="1"/>
  <c r="M170" i="1"/>
  <c r="M146" i="1"/>
  <c r="M145" i="1" s="1"/>
  <c r="M158" i="1"/>
  <c r="M163" i="1"/>
  <c r="L200" i="1"/>
  <c r="L23" i="1" s="1"/>
  <c r="M141" i="1"/>
  <c r="M129" i="1"/>
  <c r="K97" i="1"/>
  <c r="K138" i="1"/>
  <c r="K176" i="1"/>
  <c r="M109" i="1"/>
  <c r="M54" i="1"/>
  <c r="M131" i="1"/>
  <c r="J78" i="1"/>
  <c r="L193" i="1"/>
  <c r="J100" i="1"/>
  <c r="L100" i="1"/>
  <c r="L157" i="1"/>
  <c r="L176" i="1"/>
  <c r="J51" i="1"/>
  <c r="M193" i="1"/>
  <c r="J219" i="1"/>
  <c r="L82" i="1"/>
  <c r="L48" i="1"/>
  <c r="S221" i="1"/>
  <c r="M66" i="1"/>
  <c r="L66" i="1"/>
  <c r="K211" i="1"/>
  <c r="K207" i="1" s="1"/>
  <c r="K24" i="1" s="1"/>
  <c r="M120" i="1"/>
  <c r="L97" i="1"/>
  <c r="L211" i="1"/>
  <c r="L207" i="1" s="1"/>
  <c r="L24" i="1" s="1"/>
  <c r="J82" i="1"/>
  <c r="J108" i="1"/>
  <c r="J176" i="1"/>
  <c r="K158" i="1"/>
  <c r="M154" i="1"/>
  <c r="M211" i="1"/>
  <c r="M207" i="1" s="1"/>
  <c r="M24" i="1" s="1"/>
  <c r="L51" i="1"/>
  <c r="L108" i="1"/>
  <c r="M114" i="1"/>
  <c r="J211" i="1"/>
  <c r="J207" i="1" s="1"/>
  <c r="J24" i="1" s="1"/>
  <c r="F533" i="4"/>
  <c r="F235" i="4"/>
  <c r="F526" i="4"/>
  <c r="F133" i="4"/>
  <c r="G10" i="3"/>
  <c r="M77" i="1"/>
  <c r="I139" i="3"/>
  <c r="E176" i="3"/>
  <c r="K78" i="1"/>
  <c r="E643" i="4"/>
  <c r="J375" i="3"/>
  <c r="E10" i="3" l="1"/>
  <c r="J10" i="3"/>
  <c r="J371" i="3"/>
  <c r="J12" i="3"/>
  <c r="E414" i="3"/>
  <c r="I479" i="3"/>
  <c r="F183" i="3"/>
  <c r="I183" i="3" s="1"/>
  <c r="I477" i="3"/>
  <c r="I494" i="3"/>
  <c r="I291" i="3"/>
  <c r="H133" i="3"/>
  <c r="F171" i="3"/>
  <c r="F167" i="3" s="1"/>
  <c r="I167" i="3" s="1"/>
  <c r="F199" i="3"/>
  <c r="I199" i="3" s="1"/>
  <c r="I483" i="3"/>
  <c r="I248" i="3"/>
  <c r="G551" i="4"/>
  <c r="G541" i="4" s="1"/>
  <c r="J414" i="3"/>
  <c r="J199" i="3"/>
  <c r="F351" i="3"/>
  <c r="I351" i="3" s="1"/>
  <c r="F448" i="3"/>
  <c r="I448" i="3" s="1"/>
  <c r="I129" i="3"/>
  <c r="E44" i="3"/>
  <c r="E42" i="3" s="1"/>
  <c r="I17" i="3"/>
  <c r="J25" i="1"/>
  <c r="N9" i="4"/>
  <c r="P146" i="1"/>
  <c r="P145" i="1" s="1"/>
  <c r="Q159" i="1"/>
  <c r="P114" i="1"/>
  <c r="M373" i="4"/>
  <c r="I370" i="4"/>
  <c r="I369" i="4" s="1"/>
  <c r="P109" i="1"/>
  <c r="Q120" i="1"/>
  <c r="N618" i="4"/>
  <c r="O120" i="1"/>
  <c r="J133" i="3"/>
  <c r="F431" i="3"/>
  <c r="I431" i="3" s="1"/>
  <c r="I432" i="3"/>
  <c r="F399" i="3"/>
  <c r="I399" i="3" s="1"/>
  <c r="I400" i="3"/>
  <c r="F375" i="3"/>
  <c r="I375" i="3" s="1"/>
  <c r="I376" i="3"/>
  <c r="F194" i="3"/>
  <c r="F178" i="3" s="1"/>
  <c r="M636" i="4"/>
  <c r="M632" i="4"/>
  <c r="I102" i="3"/>
  <c r="F101" i="3"/>
  <c r="I101" i="3" s="1"/>
  <c r="M643" i="4"/>
  <c r="E336" i="3"/>
  <c r="I324" i="4"/>
  <c r="M325" i="4"/>
  <c r="I663" i="4"/>
  <c r="M663" i="4" s="1"/>
  <c r="M664" i="4"/>
  <c r="G42" i="3"/>
  <c r="F472" i="3"/>
  <c r="I472" i="3" s="1"/>
  <c r="I473" i="3"/>
  <c r="N650" i="4"/>
  <c r="I222" i="3"/>
  <c r="F221" i="3"/>
  <c r="F418" i="3"/>
  <c r="I424" i="3"/>
  <c r="F12" i="3"/>
  <c r="I16" i="3"/>
  <c r="F155" i="3"/>
  <c r="I156" i="3"/>
  <c r="J44" i="3"/>
  <c r="I130" i="4"/>
  <c r="M131" i="4"/>
  <c r="I364" i="4"/>
  <c r="M365" i="4"/>
  <c r="I224" i="4"/>
  <c r="I223" i="4" s="1"/>
  <c r="M225" i="4"/>
  <c r="I87" i="4"/>
  <c r="M88" i="4"/>
  <c r="N113" i="4"/>
  <c r="I122" i="4"/>
  <c r="M120" i="4" s="1"/>
  <c r="M123" i="4"/>
  <c r="J42" i="3"/>
  <c r="M559" i="4"/>
  <c r="I264" i="4"/>
  <c r="M265" i="4"/>
  <c r="I145" i="4"/>
  <c r="M146" i="4"/>
  <c r="M427" i="4"/>
  <c r="I358" i="4"/>
  <c r="M359" i="4"/>
  <c r="I316" i="4"/>
  <c r="M317" i="4"/>
  <c r="M218" i="4"/>
  <c r="I352" i="4"/>
  <c r="M353" i="4"/>
  <c r="I236" i="4"/>
  <c r="M237" i="4"/>
  <c r="I117" i="4"/>
  <c r="M118" i="4"/>
  <c r="O145" i="1"/>
  <c r="S145" i="1" s="1"/>
  <c r="S146" i="1"/>
  <c r="G336" i="3"/>
  <c r="J336" i="3" s="1"/>
  <c r="I248" i="4"/>
  <c r="M248" i="4" s="1"/>
  <c r="M249" i="4"/>
  <c r="F325" i="3"/>
  <c r="I325" i="3" s="1"/>
  <c r="I327" i="3"/>
  <c r="J176" i="3"/>
  <c r="F389" i="3"/>
  <c r="I390" i="3"/>
  <c r="F228" i="3"/>
  <c r="I228" i="3" s="1"/>
  <c r="I334" i="4"/>
  <c r="I333" i="4" s="1"/>
  <c r="M335" i="4"/>
  <c r="I290" i="4"/>
  <c r="M291" i="4"/>
  <c r="I309" i="4"/>
  <c r="M310" i="4"/>
  <c r="I197" i="4"/>
  <c r="M198" i="4"/>
  <c r="S219" i="1"/>
  <c r="F255" i="3"/>
  <c r="I259" i="3"/>
  <c r="I191" i="4"/>
  <c r="M192" i="4"/>
  <c r="I53" i="4"/>
  <c r="M53" i="4" s="1"/>
  <c r="M54" i="4"/>
  <c r="I396" i="4"/>
  <c r="M397" i="4"/>
  <c r="O138" i="1"/>
  <c r="S138" i="1" s="1"/>
  <c r="S141" i="1"/>
  <c r="N126" i="4"/>
  <c r="O173" i="1"/>
  <c r="S173" i="1" s="1"/>
  <c r="S174" i="1"/>
  <c r="E267" i="3"/>
  <c r="E253" i="3" s="1"/>
  <c r="I490" i="3"/>
  <c r="J490" i="3"/>
  <c r="G488" i="3"/>
  <c r="F48" i="3"/>
  <c r="I49" i="3"/>
  <c r="I307" i="3"/>
  <c r="F306" i="3"/>
  <c r="J267" i="3"/>
  <c r="H253" i="3"/>
  <c r="J253" i="3" s="1"/>
  <c r="F267" i="3"/>
  <c r="I267" i="3" s="1"/>
  <c r="F162" i="3"/>
  <c r="I162" i="3" s="1"/>
  <c r="I163" i="3"/>
  <c r="I38" i="3"/>
  <c r="F31" i="3"/>
  <c r="F366" i="3"/>
  <c r="I366" i="3" s="1"/>
  <c r="I367" i="3"/>
  <c r="J210" i="3"/>
  <c r="I240" i="3"/>
  <c r="F239" i="3"/>
  <c r="I239" i="3" s="1"/>
  <c r="J338" i="3"/>
  <c r="O16" i="1"/>
  <c r="S96" i="1"/>
  <c r="M535" i="4"/>
  <c r="I521" i="4"/>
  <c r="M522" i="4"/>
  <c r="I491" i="4"/>
  <c r="M493" i="4"/>
  <c r="I470" i="4"/>
  <c r="M471" i="4"/>
  <c r="I419" i="4"/>
  <c r="M420" i="4"/>
  <c r="I402" i="4"/>
  <c r="M403" i="4"/>
  <c r="I270" i="4"/>
  <c r="M271" i="4"/>
  <c r="I257" i="4"/>
  <c r="M258" i="4"/>
  <c r="I242" i="4"/>
  <c r="M243" i="4"/>
  <c r="I211" i="4"/>
  <c r="M212" i="4"/>
  <c r="O149" i="1"/>
  <c r="J165" i="4"/>
  <c r="N165" i="4" s="1"/>
  <c r="N170" i="4"/>
  <c r="M170" i="4"/>
  <c r="N141" i="4"/>
  <c r="Q14" i="1"/>
  <c r="T14" i="1" s="1"/>
  <c r="I452" i="4"/>
  <c r="M453" i="4"/>
  <c r="I346" i="4"/>
  <c r="M347" i="4"/>
  <c r="I340" i="4"/>
  <c r="M341" i="4"/>
  <c r="I303" i="4"/>
  <c r="M304" i="4"/>
  <c r="I296" i="4"/>
  <c r="M297" i="4"/>
  <c r="I204" i="4"/>
  <c r="M205" i="4"/>
  <c r="O153" i="1"/>
  <c r="S153" i="1" s="1"/>
  <c r="S154" i="1"/>
  <c r="I94" i="4"/>
  <c r="M95" i="4"/>
  <c r="I81" i="4"/>
  <c r="M82" i="4"/>
  <c r="M74" i="4"/>
  <c r="M62" i="4"/>
  <c r="I20" i="4"/>
  <c r="M20" i="4" s="1"/>
  <c r="M21" i="4"/>
  <c r="P154" i="1"/>
  <c r="P153" i="1" s="1"/>
  <c r="O177" i="1"/>
  <c r="I444" i="4"/>
  <c r="G179" i="4"/>
  <c r="G178" i="4" s="1"/>
  <c r="G171" i="4" s="1"/>
  <c r="G170" i="4" s="1"/>
  <c r="G169" i="4" s="1"/>
  <c r="G165" i="4" s="1"/>
  <c r="N109" i="1"/>
  <c r="N131" i="1"/>
  <c r="N154" i="1"/>
  <c r="N153" i="1" s="1"/>
  <c r="G13" i="4"/>
  <c r="G12" i="4" s="1"/>
  <c r="N181" i="1"/>
  <c r="N157" i="1"/>
  <c r="P181" i="1"/>
  <c r="N100" i="1"/>
  <c r="N114" i="1"/>
  <c r="N120" i="1"/>
  <c r="F286" i="4"/>
  <c r="N177" i="1"/>
  <c r="O194" i="1"/>
  <c r="G440" i="4"/>
  <c r="G438" i="4" s="1"/>
  <c r="O189" i="1"/>
  <c r="O134" i="1"/>
  <c r="O25" i="1"/>
  <c r="M25" i="1"/>
  <c r="P25" i="1"/>
  <c r="P38" i="1"/>
  <c r="O38" i="1"/>
  <c r="N38" i="1"/>
  <c r="N15" i="1" s="1"/>
  <c r="N14" i="1" s="1"/>
  <c r="K172" i="1"/>
  <c r="K19" i="1" s="1"/>
  <c r="K39" i="1"/>
  <c r="N25" i="1"/>
  <c r="M622" i="4"/>
  <c r="I231" i="4"/>
  <c r="I230" i="4" s="1"/>
  <c r="I229" i="4" s="1"/>
  <c r="I111" i="4"/>
  <c r="I110" i="4" s="1"/>
  <c r="O158" i="1" s="1"/>
  <c r="I642" i="4"/>
  <c r="I389" i="4"/>
  <c r="I388" i="4" s="1"/>
  <c r="I387" i="4" s="1"/>
  <c r="G286" i="4"/>
  <c r="G642" i="4"/>
  <c r="G641" i="4" s="1"/>
  <c r="G223" i="4"/>
  <c r="G220" i="4" s="1"/>
  <c r="G654" i="4"/>
  <c r="G653" i="4" s="1"/>
  <c r="G650" i="4" s="1"/>
  <c r="I281" i="4"/>
  <c r="G113" i="4"/>
  <c r="G281" i="4"/>
  <c r="G280" i="4" s="1"/>
  <c r="G277" i="4" s="1"/>
  <c r="I13" i="4"/>
  <c r="G270" i="4"/>
  <c r="G269" i="4" s="1"/>
  <c r="G260" i="4" s="1"/>
  <c r="G370" i="4"/>
  <c r="G369" i="4" s="1"/>
  <c r="G312" i="4" s="1"/>
  <c r="G299" i="4"/>
  <c r="I29" i="4"/>
  <c r="G392" i="4"/>
  <c r="I654" i="4"/>
  <c r="G29" i="4"/>
  <c r="G28" i="4" s="1"/>
  <c r="F28" i="4"/>
  <c r="F621" i="4"/>
  <c r="G621" i="4"/>
  <c r="K25" i="1"/>
  <c r="M173" i="1"/>
  <c r="L77" i="1"/>
  <c r="F520" i="4"/>
  <c r="F515" i="4" s="1"/>
  <c r="F339" i="4"/>
  <c r="F129" i="4"/>
  <c r="M176" i="1"/>
  <c r="M100" i="1"/>
  <c r="F12" i="4"/>
  <c r="F263" i="4"/>
  <c r="F395" i="4"/>
  <c r="F641" i="4"/>
  <c r="F503" i="4"/>
  <c r="F496" i="4" s="1"/>
  <c r="J77" i="1"/>
  <c r="L99" i="1"/>
  <c r="L18" i="1" s="1"/>
  <c r="L25" i="1"/>
  <c r="L172" i="1"/>
  <c r="L19" i="1" s="1"/>
  <c r="M157" i="1"/>
  <c r="J172" i="1"/>
  <c r="J19" i="1" s="1"/>
  <c r="J39" i="1"/>
  <c r="J99" i="1"/>
  <c r="J18" i="1" s="1"/>
  <c r="M138" i="1"/>
  <c r="K96" i="1"/>
  <c r="K16" i="1" s="1"/>
  <c r="L96" i="1"/>
  <c r="L16" i="1" s="1"/>
  <c r="J28" i="1"/>
  <c r="M108" i="1"/>
  <c r="M153" i="1"/>
  <c r="L39" i="1"/>
  <c r="K157" i="1"/>
  <c r="L61" i="1"/>
  <c r="M38" i="1"/>
  <c r="I194" i="3"/>
  <c r="K77" i="1"/>
  <c r="F220" i="4"/>
  <c r="I171" i="3" l="1"/>
  <c r="O176" i="1"/>
  <c r="R159" i="1"/>
  <c r="E499" i="3"/>
  <c r="E8" i="3" s="1"/>
  <c r="G499" i="3"/>
  <c r="P189" i="1"/>
  <c r="P103" i="1"/>
  <c r="P100" i="1" s="1"/>
  <c r="P194" i="1"/>
  <c r="P193" i="1" s="1"/>
  <c r="P120" i="1"/>
  <c r="J138" i="4"/>
  <c r="I395" i="4"/>
  <c r="M396" i="4"/>
  <c r="I216" i="4"/>
  <c r="M214" i="4" s="1"/>
  <c r="M217" i="4"/>
  <c r="I144" i="4"/>
  <c r="M145" i="4"/>
  <c r="I255" i="3"/>
  <c r="I196" i="4"/>
  <c r="M194" i="4" s="1"/>
  <c r="M197" i="4"/>
  <c r="I289" i="4"/>
  <c r="M287" i="4" s="1"/>
  <c r="M290" i="4"/>
  <c r="I86" i="4"/>
  <c r="M84" i="4" s="1"/>
  <c r="M87" i="4"/>
  <c r="I363" i="4"/>
  <c r="M361" i="4" s="1"/>
  <c r="M364" i="4"/>
  <c r="F302" i="3"/>
  <c r="I302" i="3" s="1"/>
  <c r="I306" i="3"/>
  <c r="I488" i="3"/>
  <c r="J488" i="3"/>
  <c r="I235" i="4"/>
  <c r="M235" i="4" s="1"/>
  <c r="M236" i="4"/>
  <c r="I357" i="4"/>
  <c r="M355" i="4" s="1"/>
  <c r="M358" i="4"/>
  <c r="M555" i="4"/>
  <c r="M558" i="4"/>
  <c r="I12" i="3"/>
  <c r="I280" i="4"/>
  <c r="M281" i="4"/>
  <c r="F338" i="3"/>
  <c r="I190" i="4"/>
  <c r="M191" i="4"/>
  <c r="I116" i="4"/>
  <c r="M117" i="4"/>
  <c r="I351" i="4"/>
  <c r="M349" i="4" s="1"/>
  <c r="M352" i="4"/>
  <c r="I315" i="4"/>
  <c r="M316" i="4"/>
  <c r="M423" i="4"/>
  <c r="M426" i="4"/>
  <c r="I263" i="4"/>
  <c r="M261" i="4" s="1"/>
  <c r="M264" i="4"/>
  <c r="H499" i="3"/>
  <c r="H8" i="3" s="1"/>
  <c r="I155" i="3"/>
  <c r="F144" i="3"/>
  <c r="I418" i="3"/>
  <c r="F414" i="3"/>
  <c r="I414" i="3" s="1"/>
  <c r="I323" i="4"/>
  <c r="M321" i="4" s="1"/>
  <c r="M324" i="4"/>
  <c r="I653" i="4"/>
  <c r="M654" i="4"/>
  <c r="M367" i="4"/>
  <c r="M370" i="4"/>
  <c r="F27" i="3"/>
  <c r="I27" i="3" s="1"/>
  <c r="I31" i="3"/>
  <c r="I48" i="3"/>
  <c r="F44" i="3"/>
  <c r="I308" i="4"/>
  <c r="M306" i="4" s="1"/>
  <c r="M309" i="4"/>
  <c r="M334" i="4"/>
  <c r="I389" i="3"/>
  <c r="F371" i="3"/>
  <c r="I371" i="3" s="1"/>
  <c r="M224" i="4"/>
  <c r="I129" i="4"/>
  <c r="M130" i="4"/>
  <c r="F210" i="3"/>
  <c r="M531" i="4"/>
  <c r="M534" i="4"/>
  <c r="I520" i="4"/>
  <c r="M521" i="4"/>
  <c r="M489" i="4"/>
  <c r="M492" i="4"/>
  <c r="I469" i="4"/>
  <c r="M467" i="4" s="1"/>
  <c r="M470" i="4"/>
  <c r="O193" i="1"/>
  <c r="I418" i="4"/>
  <c r="M419" i="4"/>
  <c r="I401" i="4"/>
  <c r="M399" i="4" s="1"/>
  <c r="M402" i="4"/>
  <c r="I269" i="4"/>
  <c r="M270" i="4"/>
  <c r="I256" i="4"/>
  <c r="M257" i="4"/>
  <c r="I241" i="4"/>
  <c r="M239" i="4" s="1"/>
  <c r="M242" i="4"/>
  <c r="I210" i="4"/>
  <c r="M211" i="4"/>
  <c r="I451" i="4"/>
  <c r="M452" i="4"/>
  <c r="I443" i="4"/>
  <c r="M444" i="4"/>
  <c r="I345" i="4"/>
  <c r="M343" i="4" s="1"/>
  <c r="M346" i="4"/>
  <c r="I339" i="4"/>
  <c r="M337" i="4" s="1"/>
  <c r="M340" i="4"/>
  <c r="I302" i="4"/>
  <c r="M303" i="4"/>
  <c r="I295" i="4"/>
  <c r="M296" i="4"/>
  <c r="O157" i="1"/>
  <c r="I203" i="4"/>
  <c r="M204" i="4"/>
  <c r="I93" i="4"/>
  <c r="M94" i="4"/>
  <c r="I80" i="4"/>
  <c r="M81" i="4"/>
  <c r="I60" i="4"/>
  <c r="M58" i="4" s="1"/>
  <c r="M61" i="4"/>
  <c r="O131" i="1"/>
  <c r="O108" i="1" s="1"/>
  <c r="S134" i="1"/>
  <c r="I28" i="4"/>
  <c r="M26" i="4" s="1"/>
  <c r="M29" i="4"/>
  <c r="O103" i="1"/>
  <c r="S104" i="1"/>
  <c r="I12" i="4"/>
  <c r="M13" i="4"/>
  <c r="O15" i="1"/>
  <c r="S38" i="1"/>
  <c r="I641" i="4"/>
  <c r="M639" i="4" s="1"/>
  <c r="M642" i="4"/>
  <c r="P15" i="1"/>
  <c r="P14" i="1" s="1"/>
  <c r="N176" i="1"/>
  <c r="N172" i="1" s="1"/>
  <c r="N19" i="1" s="1"/>
  <c r="P177" i="1"/>
  <c r="N108" i="1"/>
  <c r="N99" i="1" s="1"/>
  <c r="N18" i="1" s="1"/>
  <c r="L528" i="4"/>
  <c r="L527" i="4" s="1"/>
  <c r="L526" i="4" s="1"/>
  <c r="I102" i="4"/>
  <c r="I99" i="4" s="1"/>
  <c r="J106" i="4"/>
  <c r="J111" i="4"/>
  <c r="J110" i="4" s="1"/>
  <c r="S195" i="1"/>
  <c r="J108" i="4"/>
  <c r="P158" i="1"/>
  <c r="P157" i="1" s="1"/>
  <c r="P150" i="1"/>
  <c r="P149" i="1" s="1"/>
  <c r="J38" i="1"/>
  <c r="J15" i="1" s="1"/>
  <c r="J20" i="1" s="1"/>
  <c r="J30" i="1" s="1"/>
  <c r="I621" i="4"/>
  <c r="G618" i="4"/>
  <c r="G9" i="4"/>
  <c r="F9" i="4"/>
  <c r="F312" i="4"/>
  <c r="M172" i="1"/>
  <c r="F126" i="4"/>
  <c r="F440" i="4"/>
  <c r="F438" i="4" s="1"/>
  <c r="F392" i="4"/>
  <c r="F260" i="4"/>
  <c r="F618" i="4"/>
  <c r="M99" i="1"/>
  <c r="M18" i="1" s="1"/>
  <c r="L58" i="1"/>
  <c r="K99" i="1"/>
  <c r="K18" i="1" s="1"/>
  <c r="F176" i="3"/>
  <c r="I178" i="3"/>
  <c r="M15" i="1"/>
  <c r="G8" i="3"/>
  <c r="K38" i="1"/>
  <c r="M10" i="4" l="1"/>
  <c r="M393" i="4"/>
  <c r="I312" i="4"/>
  <c r="M414" i="4"/>
  <c r="M78" i="4"/>
  <c r="M313" i="4"/>
  <c r="M416" i="4"/>
  <c r="M518" i="4"/>
  <c r="I618" i="4"/>
  <c r="M449" i="4"/>
  <c r="P131" i="1"/>
  <c r="P108" i="1" s="1"/>
  <c r="P99" i="1" s="1"/>
  <c r="P18" i="1" s="1"/>
  <c r="T159" i="1"/>
  <c r="K138" i="4"/>
  <c r="L139" i="4"/>
  <c r="L138" i="4" s="1"/>
  <c r="L137" i="4" s="1"/>
  <c r="J103" i="4"/>
  <c r="J102" i="4" s="1"/>
  <c r="J137" i="4"/>
  <c r="M138" i="4"/>
  <c r="R128" i="1"/>
  <c r="J499" i="3"/>
  <c r="I220" i="4"/>
  <c r="F42" i="3"/>
  <c r="I42" i="3" s="1"/>
  <c r="I44" i="3"/>
  <c r="N17" i="1"/>
  <c r="I210" i="3"/>
  <c r="F208" i="3"/>
  <c r="I208" i="3" s="1"/>
  <c r="I144" i="3"/>
  <c r="F133" i="3"/>
  <c r="I133" i="3" s="1"/>
  <c r="I113" i="4"/>
  <c r="M114" i="4"/>
  <c r="I277" i="4"/>
  <c r="M277" i="4" s="1"/>
  <c r="M278" i="4"/>
  <c r="I338" i="3"/>
  <c r="F336" i="3"/>
  <c r="I336" i="3" s="1"/>
  <c r="F10" i="3"/>
  <c r="I10" i="3" s="1"/>
  <c r="S132" i="1"/>
  <c r="I126" i="4"/>
  <c r="M126" i="4" s="1"/>
  <c r="M129" i="4"/>
  <c r="I650" i="4"/>
  <c r="M651" i="4"/>
  <c r="I178" i="4"/>
  <c r="M188" i="4"/>
  <c r="F253" i="3"/>
  <c r="I253" i="3" s="1"/>
  <c r="I141" i="4"/>
  <c r="M141" i="4" s="1"/>
  <c r="M142" i="4"/>
  <c r="M267" i="4"/>
  <c r="I260" i="4"/>
  <c r="M260" i="4" s="1"/>
  <c r="I253" i="4"/>
  <c r="M253" i="4" s="1"/>
  <c r="M256" i="4"/>
  <c r="M208" i="4"/>
  <c r="I207" i="4"/>
  <c r="M207" i="4" s="1"/>
  <c r="S122" i="1"/>
  <c r="S159" i="1"/>
  <c r="S128" i="1"/>
  <c r="M441" i="4"/>
  <c r="M300" i="4"/>
  <c r="I299" i="4"/>
  <c r="M299" i="4" s="1"/>
  <c r="M293" i="4"/>
  <c r="I286" i="4"/>
  <c r="M286" i="4" s="1"/>
  <c r="I200" i="4"/>
  <c r="M200" i="4" s="1"/>
  <c r="M201" i="4"/>
  <c r="I90" i="4"/>
  <c r="M90" i="4" s="1"/>
  <c r="M91" i="4"/>
  <c r="O172" i="1"/>
  <c r="O100" i="1"/>
  <c r="S100" i="1" s="1"/>
  <c r="S103" i="1"/>
  <c r="O14" i="1"/>
  <c r="S14" i="1" s="1"/>
  <c r="S15" i="1"/>
  <c r="M619" i="4"/>
  <c r="N20" i="1"/>
  <c r="N30" i="1" s="1"/>
  <c r="K108" i="4"/>
  <c r="K103" i="4" s="1"/>
  <c r="L109" i="4"/>
  <c r="L108" i="4" s="1"/>
  <c r="T132" i="1"/>
  <c r="G669" i="4"/>
  <c r="G8" i="4" s="1"/>
  <c r="G7" i="4" s="1"/>
  <c r="K111" i="4"/>
  <c r="K110" i="4" s="1"/>
  <c r="L112" i="4"/>
  <c r="L111" i="4" s="1"/>
  <c r="L110" i="4" s="1"/>
  <c r="Q150" i="1"/>
  <c r="N221" i="4"/>
  <c r="T122" i="1"/>
  <c r="Q131" i="1"/>
  <c r="Q108" i="1" s="1"/>
  <c r="Q158" i="1"/>
  <c r="P176" i="1"/>
  <c r="P172" i="1" s="1"/>
  <c r="P19" i="1" s="1"/>
  <c r="M19" i="1"/>
  <c r="F669" i="4"/>
  <c r="F8" i="4" s="1"/>
  <c r="F7" i="4" s="1"/>
  <c r="L54" i="1"/>
  <c r="J8" i="3"/>
  <c r="K15" i="1"/>
  <c r="M14" i="1"/>
  <c r="I176" i="3"/>
  <c r="K102" i="4" l="1"/>
  <c r="K99" i="4" s="1"/>
  <c r="M409" i="4"/>
  <c r="M76" i="4"/>
  <c r="I73" i="4"/>
  <c r="T128" i="1"/>
  <c r="O99" i="1"/>
  <c r="O18" i="1" s="1"/>
  <c r="J99" i="4"/>
  <c r="T195" i="1"/>
  <c r="M113" i="4"/>
  <c r="M650" i="4"/>
  <c r="L107" i="4"/>
  <c r="L106" i="4" s="1"/>
  <c r="L103" i="4" s="1"/>
  <c r="L102" i="4" s="1"/>
  <c r="L99" i="4" s="1"/>
  <c r="J136" i="4"/>
  <c r="M137" i="4"/>
  <c r="K137" i="4"/>
  <c r="N138" i="4"/>
  <c r="N331" i="4"/>
  <c r="M331" i="4"/>
  <c r="M618" i="4"/>
  <c r="S180" i="1"/>
  <c r="Q177" i="1"/>
  <c r="S177" i="1" s="1"/>
  <c r="T180" i="1"/>
  <c r="M178" i="4"/>
  <c r="I177" i="4"/>
  <c r="F499" i="3"/>
  <c r="I499" i="3" s="1"/>
  <c r="S150" i="1"/>
  <c r="S158" i="1"/>
  <c r="S131" i="1"/>
  <c r="O19" i="1"/>
  <c r="R158" i="1"/>
  <c r="R157" i="1" s="1"/>
  <c r="K220" i="4"/>
  <c r="L232" i="4"/>
  <c r="L231" i="4" s="1"/>
  <c r="L230" i="4" s="1"/>
  <c r="L229" i="4" s="1"/>
  <c r="L136" i="4"/>
  <c r="R131" i="1"/>
  <c r="L440" i="4"/>
  <c r="L438" i="4" s="1"/>
  <c r="R177" i="1"/>
  <c r="Q149" i="1"/>
  <c r="R150" i="1"/>
  <c r="R149" i="1" s="1"/>
  <c r="P20" i="1"/>
  <c r="P30" i="1" s="1"/>
  <c r="Q189" i="1"/>
  <c r="Q194" i="1"/>
  <c r="P17" i="1"/>
  <c r="Q157" i="1"/>
  <c r="M20" i="1"/>
  <c r="M30" i="1" s="1"/>
  <c r="M17" i="1"/>
  <c r="J220" i="4"/>
  <c r="L38" i="1"/>
  <c r="K20" i="1"/>
  <c r="F8" i="3" l="1"/>
  <c r="I8" i="3" s="1"/>
  <c r="I407" i="4"/>
  <c r="I392" i="4" s="1"/>
  <c r="M408" i="4"/>
  <c r="M73" i="4"/>
  <c r="I72" i="4"/>
  <c r="R120" i="1"/>
  <c r="R108" i="1" s="1"/>
  <c r="R99" i="1" s="1"/>
  <c r="R18" i="1" s="1"/>
  <c r="M220" i="4"/>
  <c r="K136" i="4"/>
  <c r="N137" i="4"/>
  <c r="J133" i="4"/>
  <c r="J669" i="4" s="1"/>
  <c r="M134" i="4"/>
  <c r="T131" i="1"/>
  <c r="T177" i="1"/>
  <c r="N220" i="4"/>
  <c r="I165" i="4"/>
  <c r="M175" i="4"/>
  <c r="Q193" i="1"/>
  <c r="S193" i="1" s="1"/>
  <c r="S194" i="1"/>
  <c r="T150" i="1"/>
  <c r="T149" i="1"/>
  <c r="S149" i="1"/>
  <c r="T158" i="1"/>
  <c r="T157" i="1"/>
  <c r="S157" i="1"/>
  <c r="S189" i="1"/>
  <c r="S120" i="1"/>
  <c r="O17" i="1"/>
  <c r="O20" i="1"/>
  <c r="L133" i="4"/>
  <c r="Q176" i="1"/>
  <c r="R194" i="1"/>
  <c r="L223" i="4"/>
  <c r="R189" i="1"/>
  <c r="R176" i="1" s="1"/>
  <c r="L15" i="1"/>
  <c r="K30" i="1"/>
  <c r="I9" i="4" l="1"/>
  <c r="M68" i="4"/>
  <c r="M405" i="4"/>
  <c r="M392" i="4"/>
  <c r="M70" i="4"/>
  <c r="M133" i="4"/>
  <c r="K133" i="4"/>
  <c r="K669" i="4" s="1"/>
  <c r="N134" i="4"/>
  <c r="T189" i="1"/>
  <c r="M165" i="4"/>
  <c r="R193" i="1"/>
  <c r="T193" i="1" s="1"/>
  <c r="T194" i="1"/>
  <c r="Q172" i="1"/>
  <c r="Q19" i="1" s="1"/>
  <c r="T176" i="1"/>
  <c r="S176" i="1"/>
  <c r="T120" i="1"/>
  <c r="T108" i="1"/>
  <c r="S108" i="1"/>
  <c r="O30" i="1"/>
  <c r="L220" i="4"/>
  <c r="Q99" i="1"/>
  <c r="L20" i="1"/>
  <c r="M9" i="4" l="1"/>
  <c r="N133" i="4"/>
  <c r="K8" i="4"/>
  <c r="K7" i="4" s="1"/>
  <c r="R172" i="1"/>
  <c r="R19" i="1" s="1"/>
  <c r="N440" i="4"/>
  <c r="S19" i="1"/>
  <c r="S172" i="1"/>
  <c r="T99" i="1"/>
  <c r="S99" i="1"/>
  <c r="L668" i="4"/>
  <c r="L8" i="4" s="1"/>
  <c r="L7" i="4" s="1"/>
  <c r="Q18" i="1"/>
  <c r="L30" i="1"/>
  <c r="R17" i="1" l="1"/>
  <c r="R20" i="1"/>
  <c r="R30" i="1" s="1"/>
  <c r="T172" i="1"/>
  <c r="T19" i="1"/>
  <c r="T18" i="1"/>
  <c r="S18" i="1"/>
  <c r="N669" i="4"/>
  <c r="J8" i="4"/>
  <c r="N8" i="4" s="1"/>
  <c r="Q20" i="1"/>
  <c r="Q17" i="1"/>
  <c r="T17" i="1" l="1"/>
  <c r="S17" i="1"/>
  <c r="T20" i="1"/>
  <c r="S20" i="1"/>
  <c r="Q30" i="1"/>
  <c r="J7" i="4"/>
  <c r="N7" i="4" s="1"/>
  <c r="I504" i="4"/>
  <c r="M505" i="4"/>
  <c r="M504" i="4" l="1"/>
  <c r="I503" i="4"/>
  <c r="I440" i="4" s="1"/>
  <c r="I669" i="4" s="1"/>
  <c r="M501" i="4" l="1"/>
  <c r="M440" i="4" l="1"/>
  <c r="M669" i="4" l="1"/>
  <c r="I8" i="4"/>
  <c r="I7" i="4" l="1"/>
  <c r="M7" i="4" s="1"/>
  <c r="M8" i="4"/>
</calcChain>
</file>

<file path=xl/sharedStrings.xml><?xml version="1.0" encoding="utf-8"?>
<sst xmlns="http://schemas.openxmlformats.org/spreadsheetml/2006/main" count="2122" uniqueCount="715">
  <si>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</si>
  <si>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</si>
  <si>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</si>
  <si>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</si>
  <si>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</si>
  <si>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B. RAČUN ZADUŽIVANJA/FINANCIRANJA</t>
  </si>
  <si>
    <t>Primici od financijske imovine i zaduživanja</t>
  </si>
  <si>
    <t>NETO ZADUŽIVANJE/FINANCIRANJE</t>
  </si>
  <si>
    <t>Vlastiti izvori</t>
  </si>
  <si>
    <t>VIŠAK/MANJAK + NETO ZADUŽIVANJA/FINANCIRANJA + RASPOLOŽIVA SREDSTVA IZ PRETHODNIH GODINA</t>
  </si>
  <si>
    <t>BROJ KONTA</t>
  </si>
  <si>
    <t>VRSTA PRIHODA/IZDATAKA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</si>
  <si>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</si>
  <si>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</si>
  <si>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</si>
  <si>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</si>
  <si>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po godišnjoj prijavi</t>
  </si>
  <si>
    <t>Porezi na imovinu</t>
  </si>
  <si>
    <t>Stalni porezi na nepokretnu imovinu</t>
  </si>
  <si>
    <t>Povremeni porezi na imovinu</t>
  </si>
  <si>
    <t>Porezi na robu i usluge</t>
  </si>
  <si>
    <t>Porez na promet</t>
  </si>
  <si>
    <t>Porezi na korištenje dobara ili izvođenje aktivnosti</t>
  </si>
  <si>
    <t>Pomoći</t>
  </si>
  <si>
    <t>Pomoći iz proračuna</t>
  </si>
  <si>
    <t>Prihodi od imovine</t>
  </si>
  <si>
    <t>Prihodi od financijske imovine</t>
  </si>
  <si>
    <t>Prihod od zateznih kamata</t>
  </si>
  <si>
    <t>Prihodi od nefinancijske imovine</t>
  </si>
  <si>
    <t>Naknade za koncesije</t>
  </si>
  <si>
    <t>Ostali prihodi od nefinancijske imovine</t>
  </si>
  <si>
    <t>Prihodi od prodaje državnih biljega</t>
  </si>
  <si>
    <t>Prihodi po posebnim propisima</t>
  </si>
  <si>
    <t>Komunalni doprinosi</t>
  </si>
  <si>
    <t>Komunalne naknade</t>
  </si>
  <si>
    <t>Doprinosi za šume</t>
  </si>
  <si>
    <t xml:space="preserve">Ostali nespomenuti prihodi </t>
  </si>
  <si>
    <t>Tekuće donacije</t>
  </si>
  <si>
    <t>Kapitalne donacije</t>
  </si>
  <si>
    <t>Prihodi od prodaje neproizvedene imovine</t>
  </si>
  <si>
    <t>Zemljište</t>
  </si>
  <si>
    <t>Rashodi za zaposlene</t>
  </si>
  <si>
    <t>Plaće</t>
  </si>
  <si>
    <t>Ostali rashodi za zaposlene</t>
  </si>
  <si>
    <t>Doprinosi na plaće</t>
  </si>
  <si>
    <t>Doprinosi za zdravstveno osiguranje</t>
  </si>
  <si>
    <t>Doprinosi za zapošljavanje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</si>
  <si>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</si>
  <si>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</si>
  <si>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</si>
  <si>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</si>
  <si>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</si>
  <si>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</si>
  <si>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</si>
  <si>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</si>
  <si>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Sitan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</si>
  <si>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</si>
  <si>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</si>
  <si>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</si>
  <si>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</si>
  <si>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</si>
  <si>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</si>
  <si>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</si>
  <si>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</si>
  <si>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</si>
  <si>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</si>
  <si>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predst.i izvršnih tijela, povjerenstava i sl</t>
  </si>
  <si>
    <t>Premije osiguranja</t>
  </si>
  <si>
    <t>Reprezentacija</t>
  </si>
  <si>
    <t>Članarine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</si>
  <si>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</si>
  <si>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</si>
  <si>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</si>
  <si>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</si>
  <si>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</si>
  <si>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Subvencije</t>
  </si>
  <si>
    <t>Subvencije poljoprivrednicima, obrtnicima, malim i srednjim poduzetnicima</t>
  </si>
  <si>
    <t>Naknade građanima i kućanstvima iz proračuna</t>
  </si>
  <si>
    <t>Naknade građanima i kućanstvima u novcu</t>
  </si>
  <si>
    <t>Naknade građanima i kućanstvima u naravi</t>
  </si>
  <si>
    <t>Donacije i ostali rashodi</t>
  </si>
  <si>
    <t>Tekuće donacije u novcu</t>
  </si>
  <si>
    <t>Tekuće donacije vjerskim zajednicama</t>
  </si>
  <si>
    <t>Tekuće donacije političkim strankama</t>
  </si>
  <si>
    <t>Tekuće donacije sportskim društvima</t>
  </si>
  <si>
    <t>Ostale tekuće donacije</t>
  </si>
  <si>
    <t>Tekuće donacije u naravi</t>
  </si>
  <si>
    <t>Kapitalne donacije neprofitnim organizacijama</t>
  </si>
  <si>
    <t>Kapitalne donacije građanima i kućanstvima</t>
  </si>
  <si>
    <t>Kazne, penali i naknade štete</t>
  </si>
  <si>
    <t>Naknade štete pravnim i fizičkim osobama</t>
  </si>
  <si>
    <t>Rashodi iz proteklih godina</t>
  </si>
  <si>
    <t>Materijalni rashodi iz proteklih godina</t>
  </si>
  <si>
    <t>Ostali rashodi iz proteklih godina</t>
  </si>
  <si>
    <t>Izvanredni rashodi</t>
  </si>
  <si>
    <t>Materijalna imovina- prirodna bogatstva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</si>
  <si>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</si>
  <si>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</si>
  <si>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</si>
  <si>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</si>
  <si>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</si>
  <si>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</si>
  <si>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Uređaji, strojevi i oprema za ostale namjene</t>
  </si>
  <si>
    <t>Dodatna ulaganja na građevinskim objektima</t>
  </si>
  <si>
    <t>Primici od zaduživanja</t>
  </si>
  <si>
    <t>Izdaci za otplatu glavnice primljenih zajmova</t>
  </si>
  <si>
    <t>C. RASPOLOŽIVA SREDSTVA IZ PRETHODNIH GODINA</t>
  </si>
  <si>
    <t>Rezultata poslovanja</t>
  </si>
  <si>
    <t>Višak/manjak prihoda</t>
  </si>
  <si>
    <t>Pozicija</t>
  </si>
  <si>
    <t>UKUPNI RASHODI</t>
  </si>
  <si>
    <t>Porez i prirez na dohodak od kapitala</t>
  </si>
  <si>
    <t>Oprema za održavanje i zaštitu</t>
  </si>
  <si>
    <t>Ulaganje u računalne programe</t>
  </si>
  <si>
    <t>Članak 3.</t>
  </si>
  <si>
    <t>Primljeni zajmovi od banaka i ostalih fin. inst. izvan javnog sektora</t>
  </si>
  <si>
    <t>Primljeni zajmovi od tuzemnih banaka i ostalih fin. institucija izvan javnog sektora</t>
  </si>
  <si>
    <t>Nematerijalna proizvedena imovina</t>
  </si>
  <si>
    <t>Otplata glavnice primljenih zajmova od trg.društava u javnom sektoru</t>
  </si>
  <si>
    <t>Ostali građevinski objekti</t>
  </si>
  <si>
    <t>Porez i prirez u nadzoru prethodnih godina</t>
  </si>
  <si>
    <t>Kapitalne donacije sportskim društvima</t>
  </si>
  <si>
    <t>Primljene otplate glavnice danih zajmova</t>
  </si>
  <si>
    <t>Povrat zajmova danih tuz.bankama izvan jav.sekt.</t>
  </si>
  <si>
    <t>Izdaci za dane zajmove</t>
  </si>
  <si>
    <t>Izdaci za dane zajmove bankama izv.jav.sekt.</t>
  </si>
  <si>
    <t>Dani zajmovi tuzemnim bankama</t>
  </si>
  <si>
    <t xml:space="preserve">Kapitalne pomoći </t>
  </si>
  <si>
    <t>Ostali rashodi</t>
  </si>
  <si>
    <t>Prihodi od zakupa poslovnih objekata</t>
  </si>
  <si>
    <t>Komunalni doprinosi i naknade</t>
  </si>
  <si>
    <t>Pristojbe i naknade</t>
  </si>
  <si>
    <t>Administrativne i upravne pristojbe</t>
  </si>
  <si>
    <t>Naknade za priključak</t>
  </si>
  <si>
    <t>Plaće za zaposlene</t>
  </si>
  <si>
    <t>Službena radna i zaštitna odjeća i obuća</t>
  </si>
  <si>
    <t>Pomoći dane u inozemstvo i unutar općeg proračuna</t>
  </si>
  <si>
    <t>Pomoći unutar općeg proračuna</t>
  </si>
  <si>
    <t>Naknade građanima i kućanstvima na temelju osiguranja i dr.naknade</t>
  </si>
  <si>
    <t>Ceste, željeznice i ostali prometni objekti</t>
  </si>
  <si>
    <t>Naknade troškova osobama izvan radnog odnosa</t>
  </si>
  <si>
    <t>Prihodi vodnog gospodarstva</t>
  </si>
  <si>
    <t>Ostale naknade troškova zaposlenima</t>
  </si>
  <si>
    <t>Naknade trošk. osobama izvan radnog odnosa</t>
  </si>
  <si>
    <t>Zatezne kamate iz posl.odnosa</t>
  </si>
  <si>
    <t>Kamate za primljene kredite i zajmove</t>
  </si>
  <si>
    <t>Kamate za primljene kredite i zajmove od banaka i ostalih fin. Institucija izvan javnog sektora</t>
  </si>
  <si>
    <t>Bankarske usluge i usl.platnog prometa</t>
  </si>
  <si>
    <t>Izdaci za fin. imovinu i otplate zajmova</t>
  </si>
  <si>
    <t>Kamate na oroč. sredstva i dopunska po viđenju</t>
  </si>
  <si>
    <t>Prihodi od zakupa polj. zemljišta u vlasništvu RH</t>
  </si>
  <si>
    <t>Prihodi od upravnih i administr. pristojbi, pristojbi po poseb. propisima i naknada</t>
  </si>
  <si>
    <t>Žup., grad. i općinske pristojbe i naknade</t>
  </si>
  <si>
    <t>Nak. za prijevoz za rad na terenu i odvojeni život</t>
  </si>
  <si>
    <t>Materijal i dijelovi za tekuće i invest. održavanje</t>
  </si>
  <si>
    <t>Subvencije trg. druš., obrtnicima, malim i srednjim poduz. izvan jav. sektora</t>
  </si>
  <si>
    <t>Naknade građ. i kuć. iz proračuna</t>
  </si>
  <si>
    <t>Nepredviđeni rashodi do visine pror. pričuve</t>
  </si>
  <si>
    <t>Rashodi za nabavu neproiz. dugotr. imovine</t>
  </si>
  <si>
    <t>Rashodi za nabavu proiz. dugotrajne imov.</t>
  </si>
  <si>
    <t>Dodatna ulaganja na građ. objektima</t>
  </si>
  <si>
    <t>Primici glavnice zajmova danih bankama - dugoročni</t>
  </si>
  <si>
    <t>Izdaci za finan. imovinu i otplate zajmova</t>
  </si>
  <si>
    <t>Uredska oprema i namještaj, računala</t>
  </si>
  <si>
    <t>RAZLIKA (VIŠAK/MANJAK)</t>
  </si>
  <si>
    <t>Ostvareno 2013.</t>
  </si>
  <si>
    <t>Plan     2014.</t>
  </si>
  <si>
    <t>Procjena 2014.</t>
  </si>
  <si>
    <t>Plan     2015.</t>
  </si>
  <si>
    <t>II. POSEBNI DIO</t>
  </si>
  <si>
    <t>Šifra programska</t>
  </si>
  <si>
    <t>VRSTA RASHODA/IZDATAKA</t>
  </si>
  <si>
    <t>PLAN 2015.</t>
  </si>
  <si>
    <t>PRIJEDLOG PLANA ZA 2016.</t>
  </si>
  <si>
    <t>PROJEKCIJA PLANA ZA 2017.</t>
  </si>
  <si>
    <t>PROJEKCIJA PLANA ZA 2018.</t>
  </si>
  <si>
    <t>FUNKCIJSKA KLASIFIKACIJA: 01 OPĆE JAVNE USLUGE</t>
  </si>
  <si>
    <t>Izvor prihoda: 01 Opći prihodi, 02 Vlastiti prihodi</t>
  </si>
  <si>
    <t xml:space="preserve">Materijalni rashodi </t>
  </si>
  <si>
    <t>FUNKCIJSKA KLASIFIKACIJA:01 OPĆE JAVNE USLUGE</t>
  </si>
  <si>
    <t>Izvor prihoda: 01 Opći prihodi,  04 Pomoći</t>
  </si>
  <si>
    <t>Plaće (bruto)</t>
  </si>
  <si>
    <t>Plaće za redovan rad</t>
  </si>
  <si>
    <t>Doprinosi za obvezno zdravstveno osiguranje</t>
  </si>
  <si>
    <t>Doprinosi za obvezno osiguranje u slučaju nezaposlenosti</t>
  </si>
  <si>
    <t xml:space="preserve">Ostale naknade troškova zaposlenima (korištenje priv.aut.) </t>
  </si>
  <si>
    <t>Izvor prihoda: 01 Opći prihodi, 02 Vlastiti prihodi, 03 Prih. za pos.namjene</t>
  </si>
  <si>
    <t>Materijal i dijelovi za tekuće i investicijsko održavanje</t>
  </si>
  <si>
    <t>Sitan inventar</t>
  </si>
  <si>
    <t>Usluge tekućeg i investicijskog održavanja gr.objekata</t>
  </si>
  <si>
    <t>Zdravstvene i veterinarske usluge (obvezni i preventivni pregled zaposlenika)</t>
  </si>
  <si>
    <t>Pristojbe i naknade (jav.bilj.,sudske pristojbe)</t>
  </si>
  <si>
    <t>Troškovi sudskih postupaka</t>
  </si>
  <si>
    <t>Izvor prihoda: 03 Prihodi za posebne namjene</t>
  </si>
  <si>
    <t>Ulaganja u računalne programe</t>
  </si>
  <si>
    <t>Izvor prihoda: 01 Opći prihodi</t>
  </si>
  <si>
    <t xml:space="preserve">Ostali rashodi </t>
  </si>
  <si>
    <t>Kazne,penali i naknade štete</t>
  </si>
  <si>
    <t>Naknade šteta pravnim i fizičkim osobama</t>
  </si>
  <si>
    <t>GLAVA 0-03: ODGOJ I OBRAZOVANJE</t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</si>
  <si>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PREDŠKOLSKI ODGOJ</t>
    </r>
  </si>
  <si>
    <t>FUNKCIJSKA KLASIFIKACIJA: 09 OBRAZOVANJE</t>
  </si>
  <si>
    <t xml:space="preserve">Izvor prihoda: 01 Opći prihodi, 04 Pomoći 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</si>
  <si>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OSNOVNO ŠKOLSTVO</t>
    </r>
  </si>
  <si>
    <t>Ostale tekuće donacije u naravi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</si>
  <si>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TEKUĆI PROGRAMI SOCIJALNE SKRBI</t>
    </r>
  </si>
  <si>
    <t>FUNKCIJSKA KLASIFIKACIJA: 10 SOCIJALNA ZAŠTITA</t>
  </si>
  <si>
    <t>Izvor prihoda: 01 Opći prihodi, 03 Prihodi za posebne namjene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</si>
  <si>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DODATNE USLUGE U ZDRAVSTVU I PREVENTIVA</t>
    </r>
  </si>
  <si>
    <t>FUNKCIJSKA KLASIFIKACIJA: 07 ZDRAVSTVO</t>
  </si>
  <si>
    <r>
      <rPr>
        <b/>
        <sz val="13"/>
        <rFont val="Arial"/>
        <family val="2"/>
      </rPr>
      <t>GLAVA 0-05:</t>
    </r>
    <r>
      <rPr>
        <sz val="13"/>
        <rFont val="Arial"/>
        <family val="2"/>
      </rPr>
      <t xml:space="preserve"> VATROGASTVO, CIVILNA ZAŠTITA I PROTUGRADNA OBRANA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</si>
  <si>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OD POŽARA I CIVILNA ZAŠTITA</t>
    </r>
  </si>
  <si>
    <t>FUNKCIJSKA KLASIFIKACIJA: 03 JAVNI RED I SIGURNOST</t>
  </si>
  <si>
    <t>Izvor prihoda: 02 Vlastiti prihodi,03 Prihodi za posebne namjene</t>
  </si>
  <si>
    <t>Usluge čuvanja imovine i osoba (JVP, DVD)</t>
  </si>
  <si>
    <t>Izvor prihoda: 02 Vlastiti prihodi</t>
  </si>
  <si>
    <t>Pomoći dane u inozemstvo i unutar opće države</t>
  </si>
  <si>
    <t>Službena, radna i zaštitna odjeća</t>
  </si>
  <si>
    <t>Izvor prihoda: 01 Opći prihodi, 02 Vlastiti prihodi,03 Prih.za pos.namjene</t>
  </si>
  <si>
    <t>Intelektualne i osobne usluge (Revizija Plana zaštite)</t>
  </si>
  <si>
    <r>
      <rPr>
        <b/>
        <sz val="12"/>
        <rFont val="Arial"/>
        <family val="2"/>
      </rPr>
      <t>PROGRAM 0002</t>
    </r>
    <r>
      <rPr>
        <sz val="12"/>
        <rFont val="Arial"/>
        <family val="2"/>
      </rPr>
      <t>: KAPITALNE POMOĆI UNUTAR OPĆEG PRORAČUNA</t>
    </r>
  </si>
  <si>
    <t>FUNKCIJSKA KLASIFIKACIJA: 04 EKONOMSKI POSLOVI</t>
  </si>
  <si>
    <t>Kapitalne pomoći proračunima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</si>
  <si>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SPORT</t>
    </r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</si>
  <si>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KULTURA</t>
    </r>
  </si>
  <si>
    <t>FUNKCIJSKA KLASIF. 08 REKREACIJA, KULTURA I RELIGIJA</t>
  </si>
  <si>
    <t>Tekuće donacije udrugama</t>
  </si>
  <si>
    <t>Kapitalne donacije ostalim neprofitnim organizacijama</t>
  </si>
  <si>
    <t>Izvor prihoda: 01 Opći prihodi. 02 Vlastiti prihodi</t>
  </si>
  <si>
    <t>Rashodi protokola</t>
  </si>
  <si>
    <t>Donacije</t>
  </si>
  <si>
    <r>
      <rPr>
        <b/>
        <sz val="12"/>
        <rFont val="Arial"/>
        <family val="2"/>
      </rPr>
      <t xml:space="preserve">PROGRAM 0003: </t>
    </r>
    <r>
      <rPr>
        <sz val="12"/>
        <rFont val="Arial"/>
        <family val="2"/>
      </rPr>
      <t>RELIGIJA</t>
    </r>
  </si>
  <si>
    <t>FUNKCIJSKA KLASIF: 08 REKREACIJA, KULTURA I RELIGIJA</t>
  </si>
  <si>
    <t>Kapitalne donacije vjerskim zajednicama</t>
  </si>
  <si>
    <r>
      <rPr>
        <b/>
        <sz val="12"/>
        <rFont val="Arial"/>
        <family val="2"/>
      </rPr>
      <t>PROGRAM 0004:</t>
    </r>
    <r>
      <rPr>
        <sz val="12"/>
        <rFont val="Arial"/>
        <family val="2"/>
      </rPr>
      <t xml:space="preserve"> RAD UDURGA GRAĐANA</t>
    </r>
  </si>
  <si>
    <t>Kapitalne donacije udrugama</t>
  </si>
  <si>
    <r>
      <rPr>
        <b/>
        <sz val="13"/>
        <rFont val="Arial"/>
        <family val="2"/>
      </rPr>
      <t>GLAVA 0-07</t>
    </r>
    <r>
      <rPr>
        <sz val="13"/>
        <rFont val="Arial"/>
        <family val="2"/>
      </rPr>
      <t>: ZAŠTITA OKOLIŠA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</si>
  <si>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ZAŠTITA OKOLIŠA</t>
    </r>
  </si>
  <si>
    <t>FUNKCIJSKA KLASIFIKACIJA: 05 ZAŠTITA OKOLIŠA</t>
  </si>
  <si>
    <r>
      <rPr>
        <b/>
        <sz val="12"/>
        <rFont val="Arial"/>
        <family val="2"/>
      </rPr>
      <t>PROGRAM 0001</t>
    </r>
    <r>
      <rPr>
        <sz val="12"/>
        <rFont val="Arial"/>
        <family val="2"/>
      </rPr>
      <t>: ODRŽAVANJE KOMUNALNE INFRASTRUKTURE</t>
    </r>
  </si>
  <si>
    <t>Ostale usluge tekućeg održavanja</t>
  </si>
  <si>
    <t>Izvor prihoda: 03 Prihodi za posebne namjene,04 Pomoći,</t>
  </si>
  <si>
    <t>Izvor prihoda: 03 Prihodi za posebne namjene,04 Pomoći</t>
  </si>
  <si>
    <r>
      <rPr>
        <b/>
        <sz val="12"/>
        <rFont val="Arial"/>
        <family val="2"/>
      </rPr>
      <t>PROGRAM 0002:</t>
    </r>
    <r>
      <rPr>
        <sz val="12"/>
        <rFont val="Arial"/>
        <family val="2"/>
      </rPr>
      <t xml:space="preserve"> IZGRADNJA OBJEKATA I UREĐENJE KOMUNALNE INFRASTRUKTURE</t>
    </r>
  </si>
  <si>
    <t>FUNKCIJKA KLASIFIKACIJA: 06 USLUGE UNAPREĐENJA STANOVANJA I ZAJEDNICE</t>
  </si>
  <si>
    <t>Izvor prihoda: 06 Prihodi od prodaje nefinancijske imovine</t>
  </si>
  <si>
    <t>Rashodi za nabavu neproizvedene dug.imovine</t>
  </si>
  <si>
    <t>FUNKCIJKA KLASIFIKACIJA: 05 ZAŠTITA OKOLIŠA</t>
  </si>
  <si>
    <t>Rashodi za nabavu proizvedene dug.imovine</t>
  </si>
  <si>
    <t>Ostali nespomenuti građevinski objekti</t>
  </si>
  <si>
    <t>Izvor prihoda:03 Prihodi za posebne namjene, 04 Pomoći</t>
  </si>
  <si>
    <t>Izvor prihoda: 03 Prihodi za posebne namjene 04 Pomoći, 06 Prihodi od prodaje nef.imovine</t>
  </si>
  <si>
    <t>Izvor prihoda: 06 Prihodi od prodaje nef.imovine</t>
  </si>
  <si>
    <t>FUNKCIJKA KLASIFIKACIJA: 06 USL. UNAPREĐENJA ST. I ZAJEDNICE</t>
  </si>
  <si>
    <t>Izvor prihoda:  03 Prihodi za posebne namjene</t>
  </si>
  <si>
    <t>FUN.KLASIF. 06: USL. UNAPREĐENJA STANOVANJA I ZAJED.</t>
  </si>
  <si>
    <r>
      <rPr>
        <b/>
        <sz val="13"/>
        <rFont val="Arial"/>
        <family val="2"/>
      </rPr>
      <t>GLAVA 0-09:</t>
    </r>
    <r>
      <rPr>
        <sz val="13"/>
        <rFont val="Arial"/>
        <family val="2"/>
      </rPr>
      <t xml:space="preserve"> PROSTORNO PLANIRANJE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</si>
  <si>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PROSTORNO PLANIRANJE I STANJE U PROSTORU</t>
    </r>
  </si>
  <si>
    <t>Dokumenti prostornog uređenja</t>
  </si>
  <si>
    <t>FUNKCIJKA KLASIF.: 06 USL. UNAPREĐENJA STAN. I ZAJEDNICE</t>
  </si>
  <si>
    <t>Kapitalne pomoći</t>
  </si>
  <si>
    <t>Kapitalne pomoći trg.društvima izvan javnog sektora</t>
  </si>
  <si>
    <t>Umjetnička, literarna i znansvena djela</t>
  </si>
  <si>
    <t>Rashodi za dodatna ulaganja na nefinan. imovini</t>
  </si>
  <si>
    <t>Kamate na primljene kredite i zajmove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</si>
  <si>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REDOVNA DJELATNOST PREDSTAVNIČKOG TIJELA</t>
    </r>
  </si>
  <si>
    <r>
      <rPr>
        <b/>
        <sz val="12"/>
        <rFont val="Arial"/>
        <family val="2"/>
        <charset val="238"/>
      </rPr>
      <t>PROGRAM 0002:</t>
    </r>
    <r>
      <rPr>
        <sz val="12"/>
        <rFont val="Arial"/>
        <family val="2"/>
        <charset val="238"/>
      </rPr>
      <t xml:space="preserve"> REDOVNA DJELATNOST IZVRŠNOG TIJELA</t>
    </r>
  </si>
  <si>
    <t>GLAVA 0-01: PREDSTAVNIČKA I IZVRŠANA TIJELA</t>
  </si>
  <si>
    <t>GLAVA 0-02: TEKUĆI PROGRAMI JEDINSTVENOG UPRAVNOG ODJELA</t>
  </si>
  <si>
    <r>
      <rPr>
        <b/>
        <sz val="12"/>
        <rFont val="Arial"/>
        <family val="2"/>
        <charset val="238"/>
      </rPr>
      <t>PROGRAM 0001:</t>
    </r>
    <r>
      <rPr>
        <sz val="12"/>
        <rFont val="Arial"/>
        <family val="2"/>
        <charset val="238"/>
      </rPr>
      <t xml:space="preserve"> JAVNA UPRAVA I ADMINISTRACIJA</t>
    </r>
  </si>
  <si>
    <t>AKTIVNOST: 01 - RASHODI ZA ZAPOSLENE</t>
  </si>
  <si>
    <r>
      <rPr>
        <b/>
        <sz val="13"/>
        <rFont val="Arial"/>
        <family val="2"/>
      </rPr>
      <t>GLAVA 0-04</t>
    </r>
    <r>
      <rPr>
        <sz val="13"/>
        <rFont val="Arial"/>
        <family val="2"/>
      </rPr>
      <t>: SOCIJALNA SKRB I ZDRAVSTVO</t>
    </r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</si>
  <si>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VISOKO OBRAZOVANJE</t>
    </r>
  </si>
  <si>
    <t>Naknade građanima i kućanstvima</t>
  </si>
  <si>
    <t>Ostale naknade građanima i kućanstvima iz proračuna</t>
  </si>
  <si>
    <t>Stipendije i školarine</t>
  </si>
  <si>
    <t>Rashodi za nabavkuproizvedene dugotrajne imovine</t>
  </si>
  <si>
    <t>Tekuće donacije u novcu (HGSS I CK)</t>
  </si>
  <si>
    <t>Posebni dio Proračuna sastoji se od plana rashoda i izdataka iskazanih po vrstama, raspoređenih u programe, koji se sastoje od aktivnosti i projekata, kako slijedi:</t>
  </si>
  <si>
    <r>
      <rPr>
        <b/>
        <sz val="13"/>
        <rFont val="Arial"/>
        <family val="2"/>
      </rPr>
      <t>GLAVA 0-06:</t>
    </r>
    <r>
      <rPr>
        <sz val="13"/>
        <rFont val="Arial"/>
        <family val="2"/>
      </rPr>
      <t xml:space="preserve"> PROMICANJE DRUŠTVENIH DJELATNOSTI</t>
    </r>
  </si>
  <si>
    <r>
      <rPr>
        <b/>
        <sz val="13"/>
        <rFont val="Arial"/>
        <family val="2"/>
      </rPr>
      <t xml:space="preserve">GLAVA 0-08: </t>
    </r>
    <r>
      <rPr>
        <sz val="13"/>
        <rFont val="Arial"/>
        <family val="2"/>
      </rPr>
      <t>UPRAVLJANJE IMOVINOM</t>
    </r>
  </si>
  <si>
    <t>Ceste i ostali slični objekti</t>
  </si>
  <si>
    <r>
      <rPr>
        <b/>
        <sz val="12"/>
        <rFont val="Arial"/>
        <family val="2"/>
      </rPr>
      <t>PROGRAM 0003</t>
    </r>
    <r>
      <rPr>
        <sz val="12"/>
        <rFont val="Arial"/>
        <family val="2"/>
      </rPr>
      <t>: ODRŽAVANJE I IZGRADNJA GRAĐ. OBJEKATA</t>
    </r>
  </si>
  <si>
    <r>
      <rPr>
        <b/>
        <sz val="13"/>
        <rFont val="Arial"/>
        <family val="2"/>
      </rPr>
      <t>GLAVA 0-10:</t>
    </r>
    <r>
      <rPr>
        <sz val="13"/>
        <rFont val="Arial"/>
        <family val="2"/>
      </rPr>
      <t xml:space="preserve"> JAČANJE GOSPODARSTVA</t>
    </r>
  </si>
  <si>
    <r>
      <rPr>
        <b/>
        <sz val="12"/>
        <rFont val="Arial"/>
        <family val="2"/>
      </rPr>
      <t>PROGRAM 0001:</t>
    </r>
    <r>
      <rPr>
        <sz val="12"/>
        <rFont val="Arial"/>
        <family val="2"/>
      </rPr>
      <t xml:space="preserve"> LAG "SLAVONSKI RAVNICA"</t>
    </r>
  </si>
  <si>
    <t>Članarina LAG</t>
  </si>
  <si>
    <r>
      <t xml:space="preserve">RAZDJEL 010-0: </t>
    </r>
    <r>
      <rPr>
        <sz val="13"/>
        <rFont val="Arial"/>
        <family val="2"/>
        <charset val="238"/>
      </rPr>
      <t>JEDINSTVENI UPRAVNI ODJEL, OPĆINSKA PREDSTAVNIČKA I IZVRŠNA TIJELA</t>
    </r>
  </si>
  <si>
    <t>Izvor prihoda: 03 Prihodi za posebne namjene, 06 Prihodi od nefin. imov.</t>
  </si>
  <si>
    <t>AKTIVNOST: 02 - OPĆI POSLOVI OPĆINSKE UPRAVE</t>
  </si>
  <si>
    <t>AKTIVNOST: 01 - SREDSTVA ZA RAD OPĆINSKOG VIJEĆA</t>
  </si>
  <si>
    <t>0001-01</t>
  </si>
  <si>
    <t>0002-01</t>
  </si>
  <si>
    <t>AKTIVNOST: 01 - SREDSTVA ZA RAD OPĆ. NAČELNIKA</t>
  </si>
  <si>
    <t>AKTIVNOST: 03 - NABAVKA PROIZVEDENE IMOVINE</t>
  </si>
  <si>
    <t>AKTIVNOST: 04 - INFORMATIZACIJA POSLOVANJA</t>
  </si>
  <si>
    <t>AKTIVNOST: 05 - PROVEDBA ZAKONA O ZAŠTITI NA RADU</t>
  </si>
  <si>
    <t xml:space="preserve">AKTIVNOST: 06 - NAKNADA ŠTETE </t>
  </si>
  <si>
    <t>AKTIVNOST: 01 - "MALA ŠKOLA"</t>
  </si>
  <si>
    <t>AKTIVNOST: 01 - DONACIJE PODRUČNIM ŠKOLAMA</t>
  </si>
  <si>
    <t>AKTIVNOST: 02 - SUFINANCIRANJE LJETOVANJA UČENIKA</t>
  </si>
  <si>
    <t>AKTIVNOST: 03 - FINAN. ŠK. PRIBORA UČENICIMA 1.RAZ.</t>
  </si>
  <si>
    <t>AKTIVNOST: 01 - STIPENDIRANJE STUDENATA</t>
  </si>
  <si>
    <t>AKTIVNOST: 01 - POMOĆ SOC.UGROŽENIM OBITELJIMA I RODITELJIMA NOVOROĐENE DJECE</t>
  </si>
  <si>
    <t>AKTIVNOST: 02 - JEDNOKRATNA POMOĆ OBITELJIMA POGINULIH HRVATSKIH BRANITELJA</t>
  </si>
  <si>
    <t>0001-02</t>
  </si>
  <si>
    <t>0001-03</t>
  </si>
  <si>
    <t>0001-04</t>
  </si>
  <si>
    <t>0001-05</t>
  </si>
  <si>
    <t>0001-06</t>
  </si>
  <si>
    <t>0002-02</t>
  </si>
  <si>
    <t>0002-03</t>
  </si>
  <si>
    <t>0003-01</t>
  </si>
  <si>
    <t>AKTIVNOST: 01 - DERATIZACIJA I DEZINSEKCIJA</t>
  </si>
  <si>
    <t>AKTIVNOST: 01 - ZAŠTITA OD POŽARA</t>
  </si>
  <si>
    <t>AKTIVNOST: 02 - SUSTAV ZAŠTITE I SPAŠAVANJA</t>
  </si>
  <si>
    <t>AKTIVNOST: 03 - CIVILNA ZAŠT.- OPREMANJE POSTROJBE</t>
  </si>
  <si>
    <t>AKTIVNOST: 04 - PRIMJENA ZAKONA O ZAŠTITI STANOVNIŠTVA I MATERIJALNIH DOBARA</t>
  </si>
  <si>
    <t>AKTIVNOST: 01 - PROTUGRADNA OBRANA</t>
  </si>
  <si>
    <t>AKTIVNOST: 01 - REDOVNO DJELOVANJE SPORTSKIH DR.</t>
  </si>
  <si>
    <t>AKTIVNOST: 01 - MANIFESTACIJE (turniri, koncerti, smotre)</t>
  </si>
  <si>
    <t>AKTIVNOST: 02 - IZDAVANJE KNJIGE LUKE LUKIĆA</t>
  </si>
  <si>
    <t>AKTIVNOST: 03 - OBILJEŽAVANJE DANA OPĆINE</t>
  </si>
  <si>
    <t>AKTIVNOST: 01 - SURADNJA S VJERSKIM ZAJEDNICAMA</t>
  </si>
  <si>
    <t>AKTIVNOST: 01 - DJELATNOSTI UDRUGA GRAĐANA</t>
  </si>
  <si>
    <t>AKTIVNOST: 01 - SANACIJA DIVLJIH ODLAGALIŠTA</t>
  </si>
  <si>
    <t>AKTIVNOST: 01 - RASHODI ZA JAVNU RASVJETU</t>
  </si>
  <si>
    <t>AKTIVNOST: 02 - ODRŽAVANJE GROBLJA</t>
  </si>
  <si>
    <t>AKTIVNOST: 03 - NERAZVRSTANE CESTE I JAVNE POVR.</t>
  </si>
  <si>
    <t>AKTIVNOST: 04 - TEKUĆE ODRŽ. OSTALE NENAVEDENE KOMUNALNE INFRASTRUKTURE</t>
  </si>
  <si>
    <t>PROJEKT: 01 - OTKUP ZEMLJIŠTA ZA IZGRADNJU OBJEKATA I UREĐENJE KOMUNALNE INFRASTRUK.</t>
  </si>
  <si>
    <t>PROJEKT: 02 - IZGRADNJA ODVODNJE NA PODR. OPĆINE</t>
  </si>
  <si>
    <t>PROJEKT: 03 - IZGRADNJA VODOOPSKRBNOG SUS. OPĆ.</t>
  </si>
  <si>
    <t>PROJEKT: 04 - MODERNIZACIJA JAVNE RASVJETE</t>
  </si>
  <si>
    <t>PROJEKT: 05 - IZGRADNJA CESTA,NOGOSTUPA I UGIBAL.</t>
  </si>
  <si>
    <t>PROJEKT: 01 - TEK. ODRŽ. I OPREMANJE GRAĐ. OBJEK.</t>
  </si>
  <si>
    <t>PROJEKT: 02 - IZGRADNJA NOVE OPĆINSKE ZGRADE</t>
  </si>
  <si>
    <t>PROJEKT: 03 - DOGRADNJA DRUŠTV. DOMA G.BEBRINA</t>
  </si>
  <si>
    <t xml:space="preserve">PROJEKT: 01 - PR. PLANIRANJE OPĆINE - IZRADA PPU </t>
  </si>
  <si>
    <t>AKTIVNOST: 01 - SUF. RADA LAG "SLAVONSKA RAVNICA"</t>
  </si>
  <si>
    <t>INDEKS 6/5</t>
  </si>
  <si>
    <t>FUNKCIJKA KLAS.: 06 USL. UNAPREĐENJA ST. I ZAJEDNICE</t>
  </si>
  <si>
    <t>INDEKS 7/6</t>
  </si>
  <si>
    <t>Naknade za rad pred.i izvrš. tijela, povjerenstava i sl.</t>
  </si>
  <si>
    <t>Porez i prirez na dohodak od imovine i imov. prava</t>
  </si>
  <si>
    <t>0004-01</t>
  </si>
  <si>
    <t>0002-04</t>
  </si>
  <si>
    <t>0002-05</t>
  </si>
  <si>
    <t>0003-02</t>
  </si>
  <si>
    <t>0003-03</t>
  </si>
  <si>
    <t>0003-04</t>
  </si>
  <si>
    <t>PROJEKT: 04 - NOVI DRUŠTVENI DOM U RUŠČICI</t>
  </si>
  <si>
    <t>PROJEKT: 05 - IZGRADNJA ZMG "BIĐEVI", RUŠ.</t>
  </si>
  <si>
    <t>0003-05</t>
  </si>
  <si>
    <t>PROJEKT: 06 - IZGRADNJA GOSP. ZONE "JELAS", RUŠ.</t>
  </si>
  <si>
    <t>0003-06</t>
  </si>
  <si>
    <t>0003-07</t>
  </si>
  <si>
    <t>PROJEKT: 07 - SPORTSKI I REKREACIJSKI TERENI</t>
  </si>
  <si>
    <t>PRIHODI UKUPNO</t>
  </si>
  <si>
    <t>RASHODI UKUPNO</t>
  </si>
  <si>
    <t>Naknade troš. osobama izvan radnog odnosa</t>
  </si>
  <si>
    <t>Rashodi za dodatna ulaganja na nefin. imovini</t>
  </si>
  <si>
    <t>02</t>
  </si>
  <si>
    <t>03</t>
  </si>
  <si>
    <t>04</t>
  </si>
  <si>
    <t>05</t>
  </si>
  <si>
    <t>06</t>
  </si>
  <si>
    <t>07</t>
  </si>
  <si>
    <t>Pomoći od izvanproračunskih korisnika</t>
  </si>
  <si>
    <t>Pomoći iz državnog proračuna temeljem prijenosa EU sredstava</t>
  </si>
  <si>
    <t>Kapitalne pomoći od izvanproračunskih korisnika</t>
  </si>
  <si>
    <t>Tekuće pomoći od izvanproračunskih korisnika</t>
  </si>
  <si>
    <t>Tekuće pomoći iz državnog proračuna temeljem prijenosa EU sredstava</t>
  </si>
  <si>
    <t>OPĆINA GORNJA VRBA</t>
  </si>
  <si>
    <t>Braće Radić1, Gornja Vrba</t>
  </si>
  <si>
    <t>OIB 57288773562</t>
  </si>
  <si>
    <t>Kapitalne pomoći iz državnog proračuna temeljem prijenosa EU sredstava</t>
  </si>
  <si>
    <t xml:space="preserve">Ostale nespomenut naknade i pristojbe </t>
  </si>
  <si>
    <t>Kazne, upravne mjere i ostali prihodi</t>
  </si>
  <si>
    <t>Kazne i upravne mjere</t>
  </si>
  <si>
    <t>Ostale nespomenute kazne</t>
  </si>
  <si>
    <t xml:space="preserve">Prihodi od prodaje materijalne imovine </t>
  </si>
  <si>
    <t>Subvencije trg. društvima i zadrugama izvan javnog sektora</t>
  </si>
  <si>
    <t>Sportska i glazbena oprema</t>
  </si>
  <si>
    <t>Ostala nematerijalna proizvedena imovina</t>
  </si>
  <si>
    <t>T001010101</t>
  </si>
  <si>
    <t>T001010102</t>
  </si>
  <si>
    <t>Službena, radna i zaštitna odjeća i obuća</t>
  </si>
  <si>
    <t>Usluge tekućeg i investicijskog održavanja post.i opreme</t>
  </si>
  <si>
    <t>Obvezni i preventivni pregledi zaposlenika</t>
  </si>
  <si>
    <t>T001010103</t>
  </si>
  <si>
    <t>T001010104</t>
  </si>
  <si>
    <t>T001010105</t>
  </si>
  <si>
    <t>T001010106</t>
  </si>
  <si>
    <t xml:space="preserve"> </t>
  </si>
  <si>
    <t>Tekuće donacije udrugama i političkim strankama</t>
  </si>
  <si>
    <t>Subvencije trg.društvima,poljoprivrednicima i obrtnicima</t>
  </si>
  <si>
    <t>Subvencije trgovačkim društvima izvan javnog sektora</t>
  </si>
  <si>
    <t>Ostale tekuće donacije u novcu</t>
  </si>
  <si>
    <t xml:space="preserve">Ostale tekuće donacije u novcu  </t>
  </si>
  <si>
    <t>Službena , radna i zaštitna odjeća</t>
  </si>
  <si>
    <t>FUNKCIJSKA KLASIFIKACIJA: 06 USLUGE UNAPREĐENJA STANOVANJA I ZAJEDNICE</t>
  </si>
  <si>
    <t>FUN.KLASIF. 06 USLUGE UNAPREĐENJA STANOVANJA I ZAJED.</t>
  </si>
  <si>
    <t>Komunalne usluge održavanja groblja</t>
  </si>
  <si>
    <t>Višak prihoda</t>
  </si>
  <si>
    <t>Manjak primitaka</t>
  </si>
  <si>
    <t>Izrada centralnog križa</t>
  </si>
  <si>
    <t>Naknade građanima i kućanstvima u novcu - studentske stipendije</t>
  </si>
  <si>
    <t>Naknade građanima i kućanstvima u naravi - sufinanciranje javnog prijevoza za učenike, studente, umirovljenike i dr.</t>
  </si>
  <si>
    <t xml:space="preserve">Naknade građanima i kućanstvima u naravi - sufinanciranje nabave školskog pribora i radnih bilježnica za učenike </t>
  </si>
  <si>
    <t>Tekuće donacije vatrogastvu</t>
  </si>
  <si>
    <t>FUNKCIJSKA KLASIF.: 08 REKREACIJA, KULTURA I RELIGIJA</t>
  </si>
  <si>
    <t>T001010201</t>
  </si>
  <si>
    <t>T001010301</t>
  </si>
  <si>
    <t>T001010401</t>
  </si>
  <si>
    <t>T001010501</t>
  </si>
  <si>
    <t>T001010601</t>
  </si>
  <si>
    <t>T001010701</t>
  </si>
  <si>
    <t>T001010801</t>
  </si>
  <si>
    <t>T001010901</t>
  </si>
  <si>
    <t>T001011001</t>
  </si>
  <si>
    <t>T001011101</t>
  </si>
  <si>
    <t>T001011201</t>
  </si>
  <si>
    <t>T001011301</t>
  </si>
  <si>
    <t>T001011601</t>
  </si>
  <si>
    <t>T001011802</t>
  </si>
  <si>
    <t>K001012004</t>
  </si>
  <si>
    <t>FUNK. KLASIF.: 06 USLUGE UNAPREĐ. STANOVANJA I ZAJEDNICE</t>
  </si>
  <si>
    <t>Naknade građanima i kućanstvima u novcu - jednokr. novčane pomoći za socijalno ugrožene obitelji, božićnica i uskrsnica umirovljenicima</t>
  </si>
  <si>
    <t>Umjetnička, literarna i znanstvena djela</t>
  </si>
  <si>
    <t>Dio koji će se rasporediti/pokriti u razdoblju</t>
  </si>
  <si>
    <t>Ukupan donos viška iz prethodnih godina</t>
  </si>
  <si>
    <t>Modernizacija kolnika na području Općine Gornja Vrba</t>
  </si>
  <si>
    <t>II. POSEBNI DIO PRORAČUNA - OPĆINA GORNJA VRBA</t>
  </si>
  <si>
    <t>2023.</t>
  </si>
  <si>
    <t>Prihodi od pruženih usluga</t>
  </si>
  <si>
    <t>Subvencije poljoprivrednicima i obrtnicima - poticanje poduzetništva</t>
  </si>
  <si>
    <t>Rashodi za dodatna ulaganja na nefinancijskoj imovini</t>
  </si>
  <si>
    <t>Tekuće donacije udrugama (CK)</t>
  </si>
  <si>
    <t>Kapitalne pomoći kreditnim i ostalim financijskim institucijama te trgovačkim društvima unutar javnog sektora</t>
  </si>
  <si>
    <t>Kapitalne pomoći kreditnim i ostalim financijskim institucijama te trgovačkim društvima unutar javnog sektora - projekt BROD2</t>
  </si>
  <si>
    <t>Kapitalne pom.trg.društvima unutar javnog sektora</t>
  </si>
  <si>
    <t>Otplata glavnice primljenih zajmova od trgovačkih društava izvan jav. sek.</t>
  </si>
  <si>
    <t>Prihodi od zakupa zemljišta u vl. općine</t>
  </si>
  <si>
    <t>Naknade za prijevoz</t>
  </si>
  <si>
    <t>1 - Opći prihodi i primici</t>
  </si>
  <si>
    <t>2 - Doprinosi</t>
  </si>
  <si>
    <t>3 - Vlastiti prihodi</t>
  </si>
  <si>
    <t>4 - Prihodi za posebne namjene</t>
  </si>
  <si>
    <t>5 - Pomoći</t>
  </si>
  <si>
    <t>6 - Donacije</t>
  </si>
  <si>
    <t>7 - Prihodi od prodaje ili zamjene nefinancijske imovine i naknade s naslova osiguranja</t>
  </si>
  <si>
    <t>ŠIFRARNIK IZVORA FINANCIRANJA:</t>
  </si>
  <si>
    <t>IZVOR FINANCIRANJA</t>
  </si>
  <si>
    <t>I. OPĆI DIO - SAŽETAK</t>
  </si>
  <si>
    <t>Intelektualne i osobne usluge (IN KONZALTING)</t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</si>
  <si>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      (u EURIMA)</t>
    </r>
  </si>
  <si>
    <r>
      <t xml:space="preserve">PLAN ZA       </t>
    </r>
    <r>
      <rPr>
        <b/>
        <sz val="14"/>
        <rFont val="Arial"/>
        <family val="2"/>
        <charset val="238"/>
      </rPr>
      <t>2023.</t>
    </r>
    <r>
      <rPr>
        <sz val="14"/>
        <rFont val="Arial"/>
        <family val="2"/>
        <charset val="238"/>
      </rPr>
      <t xml:space="preserve">                    (u KUNAMA)</t>
    </r>
  </si>
  <si>
    <t>Naknade u novcu - dar roditeljima za novorođenu djecu</t>
  </si>
  <si>
    <t>Naknade u novcu - pomoć roditeljima srednjoškolaca</t>
  </si>
  <si>
    <t>Naknade u novcu - pomoć mladim obiteljima za kupnju nekretnine</t>
  </si>
  <si>
    <t>Naknade u naravi - sufinanciranje boravka djece u vrtiću</t>
  </si>
  <si>
    <t>Naknade u naravi - sufinanciranje priključaka na kanalizaciju</t>
  </si>
  <si>
    <t>2023.          u HRK</t>
  </si>
  <si>
    <t>Napomena: Redak UKUPAN DONOS VIŠKA/MANJKA IZ PRETHODNE(IH) GODINA služi kao informacija i ne uzima se u obzir kod uravnoteženja proračuna, već se proračun uravnotežuje retkom DIO KOJI ĆE SE RASPOREDITI/POKRITI U RAZDOBLJU.</t>
  </si>
  <si>
    <t>A)  SAŽETAK RAČUNA PRIHODA I RASHODA</t>
  </si>
  <si>
    <t>B)  SAŽETAK RAČUNA FINANCIRANJA</t>
  </si>
  <si>
    <t>C) PRENESENI VIŠAK ILI PRENESENI MANJAK I VIŠEGODIŠNJI PLAN URAVNOTEŽENJA</t>
  </si>
  <si>
    <r>
      <t>PROJEKCIJA    ZA 2025</t>
    </r>
    <r>
      <rPr>
        <b/>
        <sz val="14"/>
        <color rgb="FFFF0000"/>
        <rFont val="Arial"/>
        <family val="2"/>
        <charset val="238"/>
      </rPr>
      <t>.</t>
    </r>
    <r>
      <rPr>
        <sz val="14"/>
        <color rgb="FFFF0000"/>
        <rFont val="Arial"/>
        <family val="2"/>
        <charset val="238"/>
      </rPr>
      <t xml:space="preserve">                          (u HRK)</t>
    </r>
  </si>
  <si>
    <t>T001011202</t>
  </si>
  <si>
    <r>
      <t xml:space="preserve">Izvor prihoda: </t>
    </r>
    <r>
      <rPr>
        <b/>
        <sz val="11"/>
        <rFont val="Arial"/>
        <family val="2"/>
        <charset val="238"/>
      </rPr>
      <t>561 Pomoći - ESF</t>
    </r>
  </si>
  <si>
    <t>561 - ESF</t>
  </si>
  <si>
    <t>521</t>
  </si>
  <si>
    <t>522</t>
  </si>
  <si>
    <t>523</t>
  </si>
  <si>
    <t>524</t>
  </si>
  <si>
    <t>31</t>
  </si>
  <si>
    <t>71</t>
  </si>
  <si>
    <t>11</t>
  </si>
  <si>
    <t>Naknada za korištenje nefin.imovine (sp.renta)</t>
  </si>
  <si>
    <t>43</t>
  </si>
  <si>
    <t>INDEKS 3/1</t>
  </si>
  <si>
    <t>INDEKS 5/3</t>
  </si>
  <si>
    <t>8 - Namjenski primici od zaduživanja</t>
  </si>
  <si>
    <t>T001011401</t>
  </si>
  <si>
    <t>T001011501</t>
  </si>
  <si>
    <t xml:space="preserve">2026.      </t>
  </si>
  <si>
    <t xml:space="preserve">Intelektualne i osobne usluge </t>
  </si>
  <si>
    <t xml:space="preserve">Rashodi za usluge </t>
  </si>
  <si>
    <t xml:space="preserve">Dodatna ulaganja na građevinskim objektima </t>
  </si>
  <si>
    <t>Naknade građanima i kućanstvima u naravi - sufinanciranje školskih izleta i ljetovanja učenika, škole plivanja i terenske nastave</t>
  </si>
  <si>
    <t>Dodatna ulaganja za ostalu nefinancijsku imovinu</t>
  </si>
  <si>
    <t>Naknade u naravi - pomoć i njega u kući (Crveni križ), sufinanc. boravka u domovima za starije i nemoćne</t>
  </si>
  <si>
    <t>FUNKC.KLASIF.: 06 USLUGE UNAPREĐ. STANOVANJA I ZAJEDNICE</t>
  </si>
  <si>
    <t xml:space="preserve">2027.      </t>
  </si>
  <si>
    <r>
      <t xml:space="preserve">PROJEKCIJA        ZA </t>
    </r>
    <r>
      <rPr>
        <b/>
        <sz val="14"/>
        <rFont val="Arial"/>
        <family val="2"/>
        <charset val="238"/>
      </rPr>
      <t>2027.</t>
    </r>
    <r>
      <rPr>
        <sz val="14"/>
        <rFont val="Arial"/>
        <family val="2"/>
        <charset val="238"/>
      </rPr>
      <t xml:space="preserve">                          </t>
    </r>
  </si>
  <si>
    <t>,</t>
  </si>
  <si>
    <t>Izgradnja ceste Galovska</t>
  </si>
  <si>
    <t>Dodatna ulaganja za nefinanc. imovinu</t>
  </si>
  <si>
    <t>Izvor prihoda: 01 Opći prihodi i primici</t>
  </si>
  <si>
    <t>Izvor prihoda: 01 Opći prihodi, 43 Prih. za pos.namjene</t>
  </si>
  <si>
    <t>Izvor prihoda: 01 Opći prihodi, 03 Vlastiti prihodi, 05 Pomoći</t>
  </si>
  <si>
    <t>Izvor prihoda:  01 Opći prihodi i primici, 05 Pomoći</t>
  </si>
  <si>
    <t>Izvor prihoda: 01 Opći prihodi, 05 Pomoći</t>
  </si>
  <si>
    <t>Izvor prihoda: 03 Vlastiti prihodi</t>
  </si>
  <si>
    <t xml:space="preserve">Izvor prihoda: 01 Opći prihodi i primici </t>
  </si>
  <si>
    <t>Izvor prihoda: 01 Opći prihodi i primici, 05 Pomoći</t>
  </si>
  <si>
    <t>Izvor prihoda: 43 Prihodi za posebne namjene</t>
  </si>
  <si>
    <t>Izvor prihoda: 02 Vlastiti prihodi, 05 Pomoći</t>
  </si>
  <si>
    <t>Izvor prihoda 01 Opći prihodi i primici</t>
  </si>
  <si>
    <t>Izvor prihoda: 05 Pomoći</t>
  </si>
  <si>
    <t>Izvor prihoda: 01 Opći prihodi i primici, 43 Prihodi za posebne namjene</t>
  </si>
  <si>
    <t>Izvor prihoda: 01 Opći prihodi i primici,  43 Prihodi za posebne namjene</t>
  </si>
  <si>
    <t>Izvor prihoda: 43 Prihodi za posebne namjene,05 Pomoći,</t>
  </si>
  <si>
    <t>Izvor prihoda: 01 Opći prihodi i primici, 43 Prihodi za posebne namjene,05 Pomoći</t>
  </si>
  <si>
    <t>Izvor prihoda:01 Opći prihodi i primici, 43 Prihodi za posebne namjene</t>
  </si>
  <si>
    <t>Izvor prihoda:01 Opći prihodi i primici, 05 Pomoći</t>
  </si>
  <si>
    <t>Izvor prihoda:  43 Prihodi za posebne namjene</t>
  </si>
  <si>
    <t>Izvor prihoda:  01 Opći prihodi i primici</t>
  </si>
  <si>
    <t>Izvor prihoda: 01- Opći prihodi i primici,  05- Pomoći</t>
  </si>
  <si>
    <r>
      <t xml:space="preserve">Izvor prihoda: </t>
    </r>
    <r>
      <rPr>
        <sz val="12"/>
        <rFont val="Arial"/>
        <family val="2"/>
        <charset val="238"/>
      </rPr>
      <t>05 - Pomoći</t>
    </r>
  </si>
  <si>
    <t>Izvor prihoda: 05 - Pomoći</t>
  </si>
  <si>
    <t>PRIJEDLOG PRORAČUNA ZA 2026. GODINU</t>
  </si>
  <si>
    <t xml:space="preserve">2028.      </t>
  </si>
  <si>
    <t xml:space="preserve">2026.           </t>
  </si>
  <si>
    <t xml:space="preserve">2027.         </t>
  </si>
  <si>
    <t xml:space="preserve">2028.        </t>
  </si>
  <si>
    <r>
      <t xml:space="preserve">PLAN ZA       </t>
    </r>
    <r>
      <rPr>
        <b/>
        <sz val="14"/>
        <rFont val="Arial"/>
        <family val="2"/>
        <charset val="238"/>
      </rPr>
      <t>2026.</t>
    </r>
    <r>
      <rPr>
        <sz val="14"/>
        <rFont val="Arial"/>
        <family val="2"/>
        <charset val="238"/>
      </rPr>
      <t xml:space="preserve">                          </t>
    </r>
  </si>
  <si>
    <r>
      <t xml:space="preserve">PROJEKCIJA        ZA </t>
    </r>
    <r>
      <rPr>
        <b/>
        <sz val="14"/>
        <rFont val="Arial"/>
        <family val="2"/>
        <charset val="238"/>
      </rPr>
      <t>2028.</t>
    </r>
    <r>
      <rPr>
        <sz val="14"/>
        <rFont val="Arial"/>
        <family val="2"/>
        <charset val="238"/>
      </rPr>
      <t xml:space="preserve">                          </t>
    </r>
  </si>
  <si>
    <t>RAZDJEL 010: OPĆINA GORNJA VRBA</t>
  </si>
  <si>
    <t>GLAVA 01001: PROGRAMI JEDINSTVENOG UPR.ODJELA, OPĆINSKOG NAČELNIKA I OPĆINSKOG VIJEĆA</t>
  </si>
  <si>
    <t>PROGRAM 1001: JAVNA UPRAVA I ADMINISTRACIJA</t>
  </si>
  <si>
    <t>A100101: JAVNA UPRAVA I ADMINISTRACIJA</t>
  </si>
  <si>
    <t>A100102: OPĆI POSLOVI OPĆINSKE UPRAVE</t>
  </si>
  <si>
    <t>A100103: NABAVKA PROIZVEDENE IMOVINE</t>
  </si>
  <si>
    <t>A100104: INFORMATIZACIJA POSLOVANJA</t>
  </si>
  <si>
    <t>A100105: PROVEDBA ZAKONA O ZAŠTITI NA RADU</t>
  </si>
  <si>
    <t xml:space="preserve">A100106: NAKNADA ŠTETE </t>
  </si>
  <si>
    <t>PROGRAM 1002: REDOVNA DJELATNOST PREDSTAVNIČKIH I              IZVRŠNIH TIJELA JLS</t>
  </si>
  <si>
    <t>A100201: RAD OPĆ. VIJEĆA , OPĆ.NAČELNIKA</t>
  </si>
  <si>
    <t>PROGRAM 1003: PROVOĐENJE LOKALNIH IZBORA</t>
  </si>
  <si>
    <t>A100301: LOKALNI IZBORI</t>
  </si>
  <si>
    <t>PROGRAM 1004: SUBVENCIJE PODUZETNIŠTVU</t>
  </si>
  <si>
    <t>PROGRAM 1005: PREDŠKOLSKI ODGOJ</t>
  </si>
  <si>
    <t>PROGRAM 1006: OSNOVNO ŠKOLSTVO</t>
  </si>
  <si>
    <t>PROGRAM 1007: RAD S DJECOM S POSEBNIM POTREBAMA</t>
  </si>
  <si>
    <t>A100701: RAD S DJECOM S POSEBNIM POTREBAMA</t>
  </si>
  <si>
    <t>A100601: OSNOVNO ŠKOLSTVO</t>
  </si>
  <si>
    <t>A100501: PROVOĐENJE PREDŠKOLSKOG MINIMUMA</t>
  </si>
  <si>
    <t>A100402: POTICANJE GOSPODARSKOG RAZVOJA NA PODRUČJU OPĆINE GORNJA VRBA</t>
  </si>
  <si>
    <t>A100401: POTICANJE PROIZVODNIH DJELAT. U GOSPODARSKOJ ZONI</t>
  </si>
  <si>
    <t>PROGRAM 1021: PROSTORNO PLANIRANJE I STANJE U PROSTORU</t>
  </si>
  <si>
    <t>Plan za 2025.</t>
  </si>
  <si>
    <t>Intelektualne i osobne usluge - modernizacija kolnika</t>
  </si>
  <si>
    <t>Intelektualne i osobne usluge - izrada projektne dokumentacije</t>
  </si>
  <si>
    <t>Intelektualne i osobne usluge - nadzor</t>
  </si>
  <si>
    <t xml:space="preserve">Prihodi od pruženih usluga </t>
  </si>
  <si>
    <t>Ostale intelektualne usluge - stručni nadzor</t>
  </si>
  <si>
    <t>Ostale intelektualne usluge - upravljanje projektom</t>
  </si>
  <si>
    <t>Ostale intelektualne usluge - promidžba i informiranje</t>
  </si>
  <si>
    <t>Postrojenje i oprema</t>
  </si>
  <si>
    <t>Intelektualne i osobne usluge - projektna dokumentacija</t>
  </si>
  <si>
    <t>T001010402</t>
  </si>
  <si>
    <t>T001011701</t>
  </si>
  <si>
    <t>T001011702</t>
  </si>
  <si>
    <t>T001011801</t>
  </si>
  <si>
    <t>K001012001</t>
  </si>
  <si>
    <t>K001012002</t>
  </si>
  <si>
    <t>K001012003</t>
  </si>
  <si>
    <t>K001012005</t>
  </si>
  <si>
    <t>K001012006</t>
  </si>
  <si>
    <t>K001012007</t>
  </si>
  <si>
    <t>K001012010</t>
  </si>
  <si>
    <t>T001012201</t>
  </si>
  <si>
    <t>T001012202</t>
  </si>
  <si>
    <t>T001012301</t>
  </si>
  <si>
    <t>Prijevozna sredstva</t>
  </si>
  <si>
    <t>Prijevozna srestva u cestovnom prometu</t>
  </si>
  <si>
    <t>Prijevozna sredstva u cestovnom prometu</t>
  </si>
  <si>
    <t>Energija (gorivo za potrebe službenog vozila)</t>
  </si>
  <si>
    <t>PROGRAM 1008: PROVOĐENJE EDUKATIVNIH AKTIVNOSTI ZA DJECU</t>
  </si>
  <si>
    <t>PROGRAM 1009: OSTALE DONACIJE U NOVCU</t>
  </si>
  <si>
    <t>T001010802</t>
  </si>
  <si>
    <t>PROGRAM 1010: POMOĆI GRAĐANIMA I KUĆANSTVIMA</t>
  </si>
  <si>
    <t>T001011002</t>
  </si>
  <si>
    <t>T001011003</t>
  </si>
  <si>
    <t>T001011004</t>
  </si>
  <si>
    <t>PROGRAM 1011: DODATNE USLUGE U ZDRAVSTVU I PREVENTIVA</t>
  </si>
  <si>
    <t>PROGRAM 1012: ZAŠTITA ŽIVOTINJA</t>
  </si>
  <si>
    <t>PROGRAM 1013: ZAŠTITA OD POŽARA I CIVILNA ZAŠTITA</t>
  </si>
  <si>
    <t>T001011302</t>
  </si>
  <si>
    <t>T001011303</t>
  </si>
  <si>
    <t>T001011304</t>
  </si>
  <si>
    <t>T001011305</t>
  </si>
  <si>
    <t>PROGRAM 1014: SPORT</t>
  </si>
  <si>
    <t>PROGRAM 1015: KULTURA</t>
  </si>
  <si>
    <t>T001011502</t>
  </si>
  <si>
    <t>PROGRAM 1016: RELIGIJA</t>
  </si>
  <si>
    <t>PROGRAM 1017: RAD UDRUGA GRAĐANA I POLIT.ORGANIZACIJA</t>
  </si>
  <si>
    <t>PROGRAM 1018: ZAŠTITA OKOLIŠA</t>
  </si>
  <si>
    <t>PROGRAM 1019: ODRŽAVANJE KOMUNALNE INFRASTRUKTURE</t>
  </si>
  <si>
    <t>T001011901</t>
  </si>
  <si>
    <t>T001011902</t>
  </si>
  <si>
    <t>A101801: GOSPODARENJE OTPADOM</t>
  </si>
  <si>
    <t>A101802: NABAVKA POSUDA ZA ODVOJENO PRIKUPLJANJE OTPADA</t>
  </si>
  <si>
    <t>A101701: SURADNJA S POLITIČKIM ORGANIZACIJAMA</t>
  </si>
  <si>
    <t>A101702: POMOĆI UDRUGAMA GRAĐANA</t>
  </si>
  <si>
    <t>A101601: SURADNJA S VJERSKIM ZAJEDNICAMA</t>
  </si>
  <si>
    <t>A101502: OBILJEŽAVANJE DANA OPĆINE</t>
  </si>
  <si>
    <t>A101501: SUF.KUD-a VRBA I DR.UDRUGA U KULTURI</t>
  </si>
  <si>
    <t>A101401: REDOVNO DJELOVANJE SPORT. UDRUGA</t>
  </si>
  <si>
    <t>A101305: PRIMJENA ZAKONA O ZAŠTITI    STANOVNIŠTVA I MATERIJALNIH DOBARA</t>
  </si>
  <si>
    <t>A101304: CIVILNA ZAŠTITA - OPREMANJE POSTROJBE</t>
  </si>
  <si>
    <t>A101303: SUSTAV ZAŠTITE I SPAŠAVANJA - HGSS</t>
  </si>
  <si>
    <t>A101302: PLAN ZAŠTITE OD POŽARA</t>
  </si>
  <si>
    <t>A101301: ZAŠTITA OD POŽARA</t>
  </si>
  <si>
    <t xml:space="preserve">A101202: VETERINARSKE USLUGE </t>
  </si>
  <si>
    <t>A101201: SUFINANCIRANJE RADA PRIHVATILIŠTA ZA PSE</t>
  </si>
  <si>
    <t>A101101: DERATIZACIJA i DEZINSEKCIJA</t>
  </si>
  <si>
    <t>A101004: JEDNOKRATNA PRAVA IZ ZAKONA O PRAVIMA HRV. BRANITELJA I ČLANOVA NJIHOVIH OBITELJI</t>
  </si>
  <si>
    <t>A101003: HUMANITARNA SKRB KROZ UDRUGE GRAĐANA</t>
  </si>
  <si>
    <t>A101002: SUFINANCIRANJE TROŠKOVA</t>
  </si>
  <si>
    <t>A101001: POMOĆ SOC.UGROŽENIM OBITELJIMA, STUDENTIMA I NOVOROĐENOJ DJECI</t>
  </si>
  <si>
    <t>A100901: OSTALE TEKUĆE DONACIJE</t>
  </si>
  <si>
    <t>A100801: PROVOĐENJE EDUKATIVNIH AKTIVNOSTI ZA DJECU PREDŠKOLSKE DOBI I DJECU NIŽIH RAZREDA OSNOVNE ŠKOLE</t>
  </si>
  <si>
    <t>A101901: RASHODI ZA UREĐAJE I JAVNU RASVJETU</t>
  </si>
  <si>
    <t xml:space="preserve">A101902: UREĐENJE GROBLJA NA PODRUČJU OPĆINE </t>
  </si>
  <si>
    <t xml:space="preserve">Ostala nematerijalna proizvedena imovina </t>
  </si>
  <si>
    <t>Intelektualne i osobne usluge - izrada projektne dokumentacije i nadzor</t>
  </si>
  <si>
    <t>S PROJEKCIJAMA ZA 2027. I 2028. GODINU</t>
  </si>
  <si>
    <t>INDEKS 2/1*100</t>
  </si>
  <si>
    <t>INDEKS 3/2*100</t>
  </si>
  <si>
    <t>Tekuće pomoći Proračunu i izvanproračunskim korisnicima iz drugih proračuna</t>
  </si>
  <si>
    <t>Kapitalne pomoći Proračunu i izvanproračunskim kosinicima iz drugih proračuna</t>
  </si>
  <si>
    <t>Pomoći drugom proračunu i izvanproračunskim korisnicima</t>
  </si>
  <si>
    <t>Tekuće pomoći drugom proračunu i izvanproračunskim korisnicima</t>
  </si>
  <si>
    <t>Kapitalne pomoći drugom proračunu i izvanproračunskim korisnicima</t>
  </si>
  <si>
    <t>Povrat poreza na dohodak po god. prijavi</t>
  </si>
  <si>
    <t>11,52</t>
  </si>
  <si>
    <t>T001011903</t>
  </si>
  <si>
    <t>T001011904</t>
  </si>
  <si>
    <t>T001011905</t>
  </si>
  <si>
    <t>T001011906</t>
  </si>
  <si>
    <t>T001011907</t>
  </si>
  <si>
    <t>T001011908</t>
  </si>
  <si>
    <t>T001011909</t>
  </si>
  <si>
    <t>T001011910</t>
  </si>
  <si>
    <t>T001011911</t>
  </si>
  <si>
    <t xml:space="preserve">A101903: NERAZVRSTANE CESTE </t>
  </si>
  <si>
    <t>A101904: NOGOSTUPI</t>
  </si>
  <si>
    <t xml:space="preserve">A101905: JAVNE POVRŠINE </t>
  </si>
  <si>
    <t>A101906: POLJSKI PUTEVI</t>
  </si>
  <si>
    <t xml:space="preserve">A101907: NABAVKA I SADNJA STABALA NA JAVNOJ POVRŠINI </t>
  </si>
  <si>
    <t xml:space="preserve">A101908: NABAVKA I POSTAVLJANJE NATPISNIH PLOČA I PLOČA S NAZIVIMA ULICA </t>
  </si>
  <si>
    <t xml:space="preserve">A101909: URBANI MOBILIJAR I PRIGODNO UKRAŠAVANJE </t>
  </si>
  <si>
    <t>T101910: REKONSTRUKCIJA OPĆINSKOG TRGA (IDEJNI PROJEKT) I PARKINGA</t>
  </si>
  <si>
    <t>T101911: SANACIJA KOLNIKA U UL.J.ODOBAŠIĆA U DONJOJ VRBI</t>
  </si>
  <si>
    <t>PROGRAM 1020: IZGRADNJA OBJEKATA KOMUNALNE INFRAST.</t>
  </si>
  <si>
    <t>PROGRAM 1021: GRAĐEVINSKI OBJEKTI I JAVNE POVRŠINE</t>
  </si>
  <si>
    <t>K001012101</t>
  </si>
  <si>
    <t>K001012102</t>
  </si>
  <si>
    <t>K001012103</t>
  </si>
  <si>
    <t>K001012104</t>
  </si>
  <si>
    <t>K001012105</t>
  </si>
  <si>
    <t>K001012106</t>
  </si>
  <si>
    <t>K001012107</t>
  </si>
  <si>
    <t>K001012108</t>
  </si>
  <si>
    <t>K001012109</t>
  </si>
  <si>
    <t>K001012110</t>
  </si>
  <si>
    <t>K001012111</t>
  </si>
  <si>
    <t>K001012112</t>
  </si>
  <si>
    <t>K001012113</t>
  </si>
  <si>
    <t>K001012114</t>
  </si>
  <si>
    <t>K001012115</t>
  </si>
  <si>
    <t>K001012116</t>
  </si>
  <si>
    <t>K001012117</t>
  </si>
  <si>
    <t>K001012118</t>
  </si>
  <si>
    <t>A102101: TEK. ODRŽ. GRAĐEVINSKIH OBJEKATA</t>
  </si>
  <si>
    <t>K102102: IZGRADNJA RASVJETE NA ŠRC "GORAN JURIĆ", GORNJA VRBA</t>
  </si>
  <si>
    <t>K102103: IZGRADNJA RASVJETE NA ŠRC "ŠIMO ODOBAŠIĆ", DONJA VRBA</t>
  </si>
  <si>
    <t>K102104: IZGRADNJA SOLARNE RASVJETE UZ BICIKLISTIČKU STAZU OD DONJE VRBE DO GORNJE VRBE</t>
  </si>
  <si>
    <t xml:space="preserve">T102105: MODERNIZACIJA NOGOSTUPA </t>
  </si>
  <si>
    <t>K102107: IZGRADNJA PJEŠAČKE STAZE U ULICI 108. BRIGADE - produžetak prema groblju</t>
  </si>
  <si>
    <t>T102108: UREĐENJE JAVNIH POVRŠINA, DJ.IGRALIŠTA</t>
  </si>
  <si>
    <t>K102109: IZGRADNJA NAVODNJAVANJA NOGOMETNOG IGRALIŠTA GORNJA VRBA</t>
  </si>
  <si>
    <t>K102110: IZGRADNJA NOGOMETNOG IGRALIŠTA SA UMJETNOM TRAVOM U GORNJOJ VRBI</t>
  </si>
  <si>
    <r>
      <t>K102111</t>
    </r>
    <r>
      <rPr>
        <b/>
        <sz val="12"/>
        <rFont val="Arial"/>
        <family val="2"/>
        <charset val="238"/>
      </rPr>
      <t>: IZGRADNJA MJESNOG GROBLJA GORNJA VRBA</t>
    </r>
  </si>
  <si>
    <t>K102112: IZGRADNJA PARKIRALIŠTA KOD NOG.IGRALIŠTA U DONJOJ VRBI</t>
  </si>
  <si>
    <t>K102113: IZGRADNJA BICIKLISTIČKE STAZE DONJA VRBA - SLAVONSKI BROD</t>
  </si>
  <si>
    <t>K102114: UREĐENJE SPORTSKOREKREACIJSKOG ZEMLJIŠTA JUŽNO OD SJEV.GOSP.ZONE U G.VRBI</t>
  </si>
  <si>
    <t>K102115: IZGRADNJA NOGOSTUPA U ULICI ZVONKA ŽULJEVIĆA, DONJA VRBA</t>
  </si>
  <si>
    <t xml:space="preserve">K102116: IZGRADNJA BICIKLISTIČKE STAZE KROZ SJEVERNU GOSPODARSKU ZONU </t>
  </si>
  <si>
    <t>K102117: IZGRADNJA SPREMIŠTA ZA RADNE STROJEVE</t>
  </si>
  <si>
    <t>K102118: IZGRADNJA DJEČJEG VRTIĆA U GORNJOJ VRBI</t>
  </si>
  <si>
    <t>T001012203</t>
  </si>
  <si>
    <t xml:space="preserve">A102201: IZRADA IV. IZMJENA I DOPUNA PPUO </t>
  </si>
  <si>
    <t xml:space="preserve">A102202: IZRADA II. IZMJENA I DOPUNA UPU NASELJA GORNJA VRBA </t>
  </si>
  <si>
    <t xml:space="preserve">A102203: IZRADA III. IZMJENA I DOPUNA UPU NASELJA GORNJA VRBA </t>
  </si>
  <si>
    <t>PROGRAM 1023: "ZAŽELI III - podrška za život u zajednici",                                PROGRAM POMOĆI STARIJIM I NEMOĆNIM OSOBAMA</t>
  </si>
  <si>
    <t>T001012302</t>
  </si>
  <si>
    <t xml:space="preserve">A102301:POMOĆ STARIJIM I NEMOĆNIM OSOBAMA  </t>
  </si>
  <si>
    <t>A102302: PROMIDŽBA I VIDLJIVOST PROGRAMA</t>
  </si>
  <si>
    <t>PROGRAM 1024: JAVNI RADOVI NA PODRUČJU OPĆINE GORNJA VRBA</t>
  </si>
  <si>
    <t>A102401: PLAĆE ZAPOSLENIH</t>
  </si>
  <si>
    <t>T001012401</t>
  </si>
  <si>
    <t>K102001: OSIGURANJE ZEMLJIŠTA ZA IZGRADNJU OBJEKATA I UREĐENJE KOMUNALNE INFRASTRUKTURE</t>
  </si>
  <si>
    <t>K102002: MODERNIZACIJA JAVNE RASVJETE</t>
  </si>
  <si>
    <t xml:space="preserve">K102003: MODERNIZACIJA KOLNIKA </t>
  </si>
  <si>
    <t>T102004: POMOĆI TRG. DRUŠ. U JAVNOM SEKTORU ZA IZGRADNJU KOMUNALNO-VODNIH GRAĐEVINA</t>
  </si>
  <si>
    <t>K102005: ZACJEVLJENJE CESTOVNIH KANALA U NASELJIMA GORNJA I DONJA VRBA</t>
  </si>
  <si>
    <t xml:space="preserve">K102006: IZGRADNJA KANALIZACIJE U SJEVERNOJ GOSPODARSKOJ ZONI </t>
  </si>
  <si>
    <t>K102106: IZGRADNJA PJEŠAČKE STAZE U SAVSKOJ ULICI U GORNJOJ VRBI</t>
  </si>
  <si>
    <t>40</t>
  </si>
  <si>
    <t>42</t>
  </si>
  <si>
    <t>581</t>
  </si>
  <si>
    <t>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</si>
</sst>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0" x14ac:knownFonts="1">
    <font>
      <sz val="10"/>
      <name val="Arial"/>
      <charset val="238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6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sz val="13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6">
    <xf numFmtId="0" fontId="0" fillId="0" borderId="0" xfId="0"/>
    <xf numFmtId="0" fontId="1" fillId="0" borderId="0" xfId="0" applyFont="1"/>
    <xf numFmtId="0" fontId="3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/>
    <xf numFmtId="0" fontId="6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3" fontId="6" fillId="0" borderId="3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4" fontId="6" fillId="0" borderId="0" xfId="0" applyNumberFormat="1" applyFont="1"/>
    <xf numFmtId="0" fontId="2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4" xfId="0" applyFont="1" applyBorder="1"/>
    <xf numFmtId="0" fontId="7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/>
    <xf numFmtId="3" fontId="8" fillId="0" borderId="1" xfId="0" applyNumberFormat="1" applyFont="1" applyBorder="1"/>
    <xf numFmtId="4" fontId="2" fillId="0" borderId="11" xfId="0" applyNumberFormat="1" applyFont="1" applyBorder="1"/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wrapText="1"/>
    </xf>
    <xf numFmtId="3" fontId="6" fillId="0" borderId="16" xfId="0" applyNumberFormat="1" applyFont="1" applyBorder="1"/>
    <xf numFmtId="0" fontId="6" fillId="0" borderId="17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wrapText="1"/>
    </xf>
    <xf numFmtId="3" fontId="7" fillId="0" borderId="19" xfId="0" applyNumberFormat="1" applyFont="1" applyBorder="1"/>
    <xf numFmtId="0" fontId="4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6" fillId="0" borderId="1" xfId="0" applyFont="1" applyBorder="1"/>
    <xf numFmtId="164" fontId="7" fillId="0" borderId="21" xfId="0" applyNumberFormat="1" applyFont="1" applyBorder="1"/>
    <xf numFmtId="165" fontId="7" fillId="0" borderId="3" xfId="0" applyNumberFormat="1" applyFont="1" applyBorder="1"/>
    <xf numFmtId="165" fontId="7" fillId="0" borderId="22" xfId="0" applyNumberFormat="1" applyFont="1" applyBorder="1"/>
    <xf numFmtId="165" fontId="7" fillId="0" borderId="0" xfId="0" applyNumberFormat="1" applyFont="1"/>
    <xf numFmtId="164" fontId="7" fillId="0" borderId="1" xfId="0" applyNumberFormat="1" applyFont="1" applyBorder="1"/>
    <xf numFmtId="165" fontId="7" fillId="0" borderId="23" xfId="0" applyNumberFormat="1" applyFont="1" applyBorder="1"/>
    <xf numFmtId="164" fontId="7" fillId="0" borderId="16" xfId="0" applyNumberFormat="1" applyFont="1" applyBorder="1"/>
    <xf numFmtId="165" fontId="7" fillId="0" borderId="24" xfId="0" applyNumberFormat="1" applyFont="1" applyBorder="1"/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wrapText="1"/>
    </xf>
    <xf numFmtId="3" fontId="2" fillId="2" borderId="28" xfId="0" applyNumberFormat="1" applyFont="1" applyFill="1" applyBorder="1"/>
    <xf numFmtId="0" fontId="0" fillId="2" borderId="0" xfId="0" applyFill="1"/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wrapText="1"/>
    </xf>
    <xf numFmtId="3" fontId="2" fillId="2" borderId="16" xfId="0" applyNumberFormat="1" applyFont="1" applyFill="1" applyBorder="1"/>
    <xf numFmtId="0" fontId="3" fillId="2" borderId="0" xfId="0" applyFont="1" applyFill="1"/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/>
    <xf numFmtId="3" fontId="8" fillId="2" borderId="6" xfId="0" applyNumberFormat="1" applyFont="1" applyFill="1" applyBorder="1"/>
    <xf numFmtId="165" fontId="7" fillId="2" borderId="6" xfId="0" applyNumberFormat="1" applyFont="1" applyFill="1" applyBorder="1"/>
    <xf numFmtId="165" fontId="7" fillId="2" borderId="30" xfId="0" applyNumberFormat="1" applyFont="1" applyFill="1" applyBorder="1"/>
    <xf numFmtId="0" fontId="10" fillId="2" borderId="0" xfId="0" applyFont="1" applyFill="1"/>
    <xf numFmtId="0" fontId="2" fillId="2" borderId="16" xfId="0" applyFont="1" applyFill="1" applyBorder="1" applyAlignment="1">
      <alignment horizontal="left"/>
    </xf>
    <xf numFmtId="0" fontId="2" fillId="2" borderId="16" xfId="0" applyFont="1" applyFill="1" applyBorder="1" applyAlignment="1">
      <alignment vertical="center" wrapText="1"/>
    </xf>
    <xf numFmtId="165" fontId="7" fillId="2" borderId="31" xfId="0" applyNumberFormat="1" applyFont="1" applyFill="1" applyBorder="1"/>
    <xf numFmtId="165" fontId="7" fillId="2" borderId="10" xfId="0" applyNumberFormat="1" applyFont="1" applyFill="1" applyBorder="1"/>
    <xf numFmtId="0" fontId="8" fillId="2" borderId="12" xfId="0" applyFont="1" applyFill="1" applyBorder="1" applyAlignment="1">
      <alignment horizontal="left"/>
    </xf>
    <xf numFmtId="0" fontId="8" fillId="2" borderId="6" xfId="0" applyFont="1" applyFill="1" applyBorder="1" applyAlignment="1">
      <alignment wrapText="1"/>
    </xf>
    <xf numFmtId="164" fontId="7" fillId="2" borderId="6" xfId="0" applyNumberFormat="1" applyFont="1" applyFill="1" applyBorder="1"/>
    <xf numFmtId="0" fontId="1" fillId="3" borderId="0" xfId="0" applyFont="1" applyFill="1"/>
    <xf numFmtId="0" fontId="2" fillId="4" borderId="17" xfId="0" applyFont="1" applyFill="1" applyBorder="1" applyAlignment="1">
      <alignment horizontal="left"/>
    </xf>
    <xf numFmtId="0" fontId="2" fillId="4" borderId="3" xfId="0" applyFont="1" applyFill="1" applyBorder="1" applyAlignment="1">
      <alignment wrapText="1"/>
    </xf>
    <xf numFmtId="3" fontId="2" fillId="4" borderId="3" xfId="0" applyNumberFormat="1" applyFont="1" applyFill="1" applyBorder="1"/>
    <xf numFmtId="164" fontId="7" fillId="4" borderId="21" xfId="0" applyNumberFormat="1" applyFont="1" applyFill="1" applyBorder="1"/>
    <xf numFmtId="165" fontId="7" fillId="4" borderId="3" xfId="0" applyNumberFormat="1" applyFont="1" applyFill="1" applyBorder="1"/>
    <xf numFmtId="165" fontId="7" fillId="4" borderId="22" xfId="0" applyNumberFormat="1" applyFont="1" applyFill="1" applyBorder="1"/>
    <xf numFmtId="0" fontId="1" fillId="4" borderId="0" xfId="0" applyFont="1" applyFill="1"/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3" fontId="2" fillId="4" borderId="1" xfId="0" applyNumberFormat="1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3" fontId="2" fillId="3" borderId="16" xfId="0" applyNumberFormat="1" applyFont="1" applyFill="1" applyBorder="1"/>
    <xf numFmtId="0" fontId="10" fillId="4" borderId="0" xfId="0" applyFont="1" applyFill="1"/>
    <xf numFmtId="0" fontId="11" fillId="0" borderId="0" xfId="0" applyFont="1"/>
    <xf numFmtId="0" fontId="8" fillId="4" borderId="4" xfId="0" applyFont="1" applyFill="1" applyBorder="1" applyAlignment="1">
      <alignment horizontal="left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distributed"/>
    </xf>
    <xf numFmtId="0" fontId="16" fillId="0" borderId="28" xfId="0" applyFont="1" applyBorder="1" applyAlignment="1">
      <alignment horizontal="center" vertical="center" textRotation="90" wrapText="1"/>
    </xf>
    <xf numFmtId="0" fontId="4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9" fillId="5" borderId="34" xfId="0" applyNumberFormat="1" applyFont="1" applyFill="1" applyBorder="1"/>
    <xf numFmtId="0" fontId="19" fillId="0" borderId="0" xfId="0" applyFont="1" applyAlignment="1">
      <alignment horizontal="left" vertical="center"/>
    </xf>
    <xf numFmtId="4" fontId="19" fillId="0" borderId="0" xfId="0" applyNumberFormat="1" applyFont="1"/>
    <xf numFmtId="4" fontId="9" fillId="6" borderId="34" xfId="0" applyNumberFormat="1" applyFont="1" applyFill="1" applyBorder="1"/>
    <xf numFmtId="0" fontId="13" fillId="0" borderId="0" xfId="0" applyFont="1"/>
    <xf numFmtId="0" fontId="15" fillId="0" borderId="0" xfId="0" applyFont="1" applyAlignment="1">
      <alignment horizontal="left" vertical="center" wrapText="1"/>
    </xf>
    <xf numFmtId="4" fontId="9" fillId="0" borderId="0" xfId="0" applyNumberFormat="1" applyFont="1"/>
    <xf numFmtId="0" fontId="21" fillId="7" borderId="19" xfId="0" applyFont="1" applyFill="1" applyBorder="1" applyAlignment="1">
      <alignment wrapText="1"/>
    </xf>
    <xf numFmtId="4" fontId="12" fillId="7" borderId="18" xfId="0" applyNumberFormat="1" applyFont="1" applyFill="1" applyBorder="1"/>
    <xf numFmtId="0" fontId="9" fillId="0" borderId="0" xfId="0" applyFont="1"/>
    <xf numFmtId="4" fontId="12" fillId="7" borderId="35" xfId="0" applyNumberFormat="1" applyFont="1" applyFill="1" applyBorder="1"/>
    <xf numFmtId="0" fontId="1" fillId="0" borderId="36" xfId="0" applyFont="1" applyBorder="1"/>
    <xf numFmtId="4" fontId="12" fillId="7" borderId="17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0" fontId="1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/>
    </xf>
    <xf numFmtId="0" fontId="2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5" fillId="0" borderId="0" xfId="0" applyFont="1" applyAlignment="1">
      <alignment vertical="distributed" wrapText="1"/>
    </xf>
    <xf numFmtId="0" fontId="9" fillId="0" borderId="0" xfId="0" applyFont="1" applyAlignment="1">
      <alignment vertical="distributed" wrapText="1"/>
    </xf>
    <xf numFmtId="0" fontId="21" fillId="0" borderId="0" xfId="0" applyFont="1"/>
    <xf numFmtId="0" fontId="21" fillId="7" borderId="37" xfId="0" applyFont="1" applyFill="1" applyBorder="1"/>
    <xf numFmtId="4" fontId="12" fillId="7" borderId="37" xfId="0" applyNumberFormat="1" applyFont="1" applyFill="1" applyBorder="1"/>
    <xf numFmtId="4" fontId="12" fillId="7" borderId="19" xfId="0" applyNumberFormat="1" applyFont="1" applyFill="1" applyBorder="1"/>
    <xf numFmtId="4" fontId="12" fillId="7" borderId="38" xfId="0" applyNumberFormat="1" applyFont="1" applyFill="1" applyBorder="1"/>
    <xf numFmtId="4" fontId="12" fillId="7" borderId="39" xfId="0" applyNumberFormat="1" applyFont="1" applyFill="1" applyBorder="1"/>
    <xf numFmtId="0" fontId="21" fillId="0" borderId="36" xfId="0" applyFont="1" applyBorder="1"/>
    <xf numFmtId="4" fontId="12" fillId="7" borderId="21" xfId="0" applyNumberFormat="1" applyFont="1" applyFill="1" applyBorder="1"/>
    <xf numFmtId="4" fontId="12" fillId="7" borderId="3" xfId="0" applyNumberFormat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Border="1"/>
    <xf numFmtId="0" fontId="12" fillId="0" borderId="0" xfId="0" applyFont="1" applyAlignment="1">
      <alignment vertical="center"/>
    </xf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24" fillId="0" borderId="0" xfId="0" applyFont="1" applyAlignment="1">
      <alignment vertic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4" fontId="3" fillId="0" borderId="0" xfId="0" applyNumberFormat="1" applyFont="1"/>
    <xf numFmtId="49" fontId="12" fillId="0" borderId="0" xfId="0" applyNumberFormat="1" applyFont="1"/>
    <xf numFmtId="0" fontId="21" fillId="7" borderId="37" xfId="0" applyFont="1" applyFill="1" applyBorder="1" applyAlignment="1">
      <alignment horizontal="left" vertical="center"/>
    </xf>
    <xf numFmtId="49" fontId="12" fillId="0" borderId="36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9" fillId="0" borderId="0" xfId="0" applyFont="1"/>
    <xf numFmtId="0" fontId="21" fillId="7" borderId="37" xfId="0" applyFont="1" applyFill="1" applyBorder="1" applyAlignment="1">
      <alignment vertical="center"/>
    </xf>
    <xf numFmtId="0" fontId="12" fillId="0" borderId="36" xfId="0" applyFont="1" applyBorder="1"/>
    <xf numFmtId="4" fontId="12" fillId="7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/>
    </xf>
    <xf numFmtId="0" fontId="21" fillId="7" borderId="19" xfId="0" applyFont="1" applyFill="1" applyBorder="1"/>
    <xf numFmtId="4" fontId="11" fillId="7" borderId="18" xfId="0" applyNumberFormat="1" applyFont="1" applyFill="1" applyBorder="1"/>
    <xf numFmtId="0" fontId="12" fillId="0" borderId="0" xfId="0" applyFont="1" applyAlignment="1">
      <alignment horizontal="left" vertical="center"/>
    </xf>
    <xf numFmtId="0" fontId="22" fillId="7" borderId="39" xfId="0" applyFont="1" applyFill="1" applyBorder="1"/>
    <xf numFmtId="0" fontId="11" fillId="0" borderId="36" xfId="0" applyFont="1" applyBorder="1"/>
    <xf numFmtId="0" fontId="1" fillId="0" borderId="0" xfId="0" applyFont="1" applyAlignment="1">
      <alignment horizontal="center" vertical="center" wrapText="1"/>
    </xf>
    <xf numFmtId="4" fontId="12" fillId="7" borderId="17" xfId="0" applyNumberFormat="1" applyFont="1" applyFill="1" applyBorder="1"/>
    <xf numFmtId="0" fontId="3" fillId="0" borderId="0" xfId="0" applyFont="1" applyAlignment="1">
      <alignment horizontal="right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4" fontId="26" fillId="0" borderId="0" xfId="0" applyNumberFormat="1" applyFont="1"/>
    <xf numFmtId="0" fontId="26" fillId="0" borderId="0" xfId="0" applyFont="1"/>
    <xf numFmtId="0" fontId="14" fillId="0" borderId="0" xfId="0" applyFont="1" applyAlignment="1">
      <alignment horizontal="left"/>
    </xf>
    <xf numFmtId="4" fontId="12" fillId="0" borderId="0" xfId="0" applyNumberFormat="1" applyFont="1"/>
    <xf numFmtId="0" fontId="3" fillId="7" borderId="18" xfId="0" applyFont="1" applyFill="1" applyBorder="1"/>
    <xf numFmtId="4" fontId="12" fillId="7" borderId="17" xfId="0" applyNumberFormat="1" applyFont="1" applyFill="1" applyBorder="1" applyAlignment="1">
      <alignment horizontal="right"/>
    </xf>
    <xf numFmtId="4" fontId="26" fillId="5" borderId="34" xfId="0" applyNumberFormat="1" applyFont="1" applyFill="1" applyBorder="1"/>
    <xf numFmtId="4" fontId="13" fillId="0" borderId="0" xfId="0" applyNumberFormat="1" applyFont="1"/>
    <xf numFmtId="0" fontId="27" fillId="0" borderId="0" xfId="0" applyFont="1"/>
    <xf numFmtId="0" fontId="11" fillId="0" borderId="0" xfId="0" applyFont="1" applyAlignment="1">
      <alignment horizontal="left"/>
    </xf>
    <xf numFmtId="0" fontId="21" fillId="7" borderId="19" xfId="0" applyFont="1" applyFill="1" applyBorder="1" applyAlignment="1">
      <alignment vertical="center" wrapText="1"/>
    </xf>
    <xf numFmtId="0" fontId="23" fillId="7" borderId="35" xfId="0" applyFont="1" applyFill="1" applyBorder="1"/>
    <xf numFmtId="4" fontId="11" fillId="7" borderId="35" xfId="0" applyNumberFormat="1" applyFont="1" applyFill="1" applyBorder="1"/>
    <xf numFmtId="0" fontId="2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1" fillId="7" borderId="35" xfId="0" applyNumberFormat="1" applyFont="1" applyFill="1" applyBorder="1"/>
    <xf numFmtId="0" fontId="25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7" borderId="19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3" fillId="7" borderId="35" xfId="0" applyFont="1" applyFill="1" applyBorder="1"/>
    <xf numFmtId="4" fontId="9" fillId="5" borderId="34" xfId="0" applyNumberFormat="1" applyFont="1" applyFill="1" applyBorder="1"/>
    <xf numFmtId="0" fontId="25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4" fontId="23" fillId="0" borderId="0" xfId="0" applyNumberFormat="1" applyFont="1"/>
    <xf numFmtId="0" fontId="25" fillId="0" borderId="0" xfId="0" applyFont="1" applyAlignment="1">
      <alignment horizontal="left" vertical="center" wrapText="1"/>
    </xf>
    <xf numFmtId="4" fontId="13" fillId="6" borderId="34" xfId="0" applyNumberFormat="1" applyFont="1" applyFill="1" applyBorder="1"/>
    <xf numFmtId="0" fontId="12" fillId="0" borderId="0" xfId="0" applyFont="1" applyAlignment="1">
      <alignment horizontal="left"/>
    </xf>
    <xf numFmtId="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18" fillId="0" borderId="0" xfId="0" applyFont="1"/>
    <xf numFmtId="0" fontId="15" fillId="0" borderId="0" xfId="0" applyFont="1"/>
    <xf numFmtId="0" fontId="0" fillId="0" borderId="0" xfId="0" applyAlignment="1">
      <alignment vertical="center"/>
    </xf>
    <xf numFmtId="0" fontId="24" fillId="0" borderId="0" xfId="0" applyFont="1"/>
    <xf numFmtId="0" fontId="2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4" fontId="19" fillId="8" borderId="34" xfId="0" applyNumberFormat="1" applyFont="1" applyFill="1" applyBorder="1" applyAlignment="1">
      <alignment horizontal="right" vertical="center"/>
    </xf>
    <xf numFmtId="0" fontId="20" fillId="0" borderId="0" xfId="0" applyFont="1"/>
    <xf numFmtId="0" fontId="29" fillId="7" borderId="39" xfId="0" applyFont="1" applyFill="1" applyBorder="1" applyAlignment="1">
      <alignment vertical="center" wrapText="1"/>
    </xf>
    <xf numFmtId="0" fontId="29" fillId="7" borderId="39" xfId="0" applyFont="1" applyFill="1" applyBorder="1" applyAlignment="1">
      <alignment vertical="center"/>
    </xf>
    <xf numFmtId="0" fontId="29" fillId="7" borderId="39" xfId="0" applyFont="1" applyFill="1" applyBorder="1"/>
    <xf numFmtId="0" fontId="29" fillId="7" borderId="38" xfId="0" applyFont="1" applyFill="1" applyBorder="1"/>
    <xf numFmtId="0" fontId="29" fillId="7" borderId="38" xfId="0" applyFont="1" applyFill="1" applyBorder="1" applyAlignment="1">
      <alignment vertical="center"/>
    </xf>
    <xf numFmtId="0" fontId="29" fillId="7" borderId="38" xfId="0" applyFont="1" applyFill="1" applyBorder="1" applyAlignment="1">
      <alignment horizontal="left" vertical="center"/>
    </xf>
    <xf numFmtId="0" fontId="29" fillId="7" borderId="39" xfId="0" applyFont="1" applyFill="1" applyBorder="1" applyAlignment="1">
      <alignment wrapText="1"/>
    </xf>
    <xf numFmtId="0" fontId="3" fillId="0" borderId="0" xfId="0" applyFont="1" applyAlignment="1">
      <alignment horizontal="right" vertical="distributed"/>
    </xf>
    <xf numFmtId="165" fontId="1" fillId="0" borderId="0" xfId="0" applyNumberFormat="1" applyFont="1" applyAlignment="1">
      <alignment horizontal="right" vertical="center"/>
    </xf>
    <xf numFmtId="165" fontId="3" fillId="5" borderId="14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6" borderId="14" xfId="0" applyNumberFormat="1" applyFont="1" applyFill="1" applyBorder="1" applyAlignment="1">
      <alignment horizontal="right"/>
    </xf>
    <xf numFmtId="165" fontId="3" fillId="7" borderId="18" xfId="0" applyNumberFormat="1" applyFont="1" applyFill="1" applyBorder="1"/>
    <xf numFmtId="165" fontId="3" fillId="7" borderId="35" xfId="0" applyNumberFormat="1" applyFont="1" applyFill="1" applyBorder="1"/>
    <xf numFmtId="165" fontId="3" fillId="0" borderId="1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7" borderId="19" xfId="0" applyNumberFormat="1" applyFont="1" applyFill="1" applyBorder="1"/>
    <xf numFmtId="165" fontId="3" fillId="7" borderId="39" xfId="0" applyNumberFormat="1" applyFont="1" applyFill="1" applyBorder="1"/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/>
    <xf numFmtId="165" fontId="3" fillId="7" borderId="18" xfId="0" applyNumberFormat="1" applyFont="1" applyFill="1" applyBorder="1" applyAlignment="1">
      <alignment wrapText="1"/>
    </xf>
    <xf numFmtId="165" fontId="3" fillId="7" borderId="35" xfId="0" applyNumberFormat="1" applyFont="1" applyFill="1" applyBorder="1" applyAlignment="1">
      <alignment wrapText="1"/>
    </xf>
    <xf numFmtId="0" fontId="3" fillId="7" borderId="35" xfId="0" applyFont="1" applyFill="1" applyBorder="1" applyAlignment="1">
      <alignment wrapText="1"/>
    </xf>
    <xf numFmtId="165" fontId="3" fillId="7" borderId="18" xfId="0" applyNumberFormat="1" applyFont="1" applyFill="1" applyBorder="1" applyAlignment="1">
      <alignment horizontal="right" wrapText="1"/>
    </xf>
    <xf numFmtId="165" fontId="3" fillId="7" borderId="35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distributed"/>
    </xf>
    <xf numFmtId="165" fontId="14" fillId="0" borderId="14" xfId="0" applyNumberFormat="1" applyFont="1" applyBorder="1" applyAlignment="1">
      <alignment horizontal="right" vertical="center"/>
    </xf>
    <xf numFmtId="165" fontId="12" fillId="8" borderId="14" xfId="0" applyNumberFormat="1" applyFont="1" applyFill="1" applyBorder="1" applyAlignment="1">
      <alignment horizontal="right" vertical="center"/>
    </xf>
    <xf numFmtId="0" fontId="24" fillId="7" borderId="21" xfId="0" applyFont="1" applyFill="1" applyBorder="1" applyAlignment="1">
      <alignment horizontal="left" vertical="center"/>
    </xf>
    <xf numFmtId="0" fontId="24" fillId="7" borderId="3" xfId="0" applyFont="1" applyFill="1" applyBorder="1"/>
    <xf numFmtId="0" fontId="24" fillId="7" borderId="3" xfId="0" applyFont="1" applyFill="1" applyBorder="1" applyAlignment="1">
      <alignment wrapText="1"/>
    </xf>
    <xf numFmtId="0" fontId="7" fillId="0" borderId="16" xfId="0" applyFont="1" applyBorder="1"/>
    <xf numFmtId="0" fontId="24" fillId="7" borderId="21" xfId="0" applyFont="1" applyFill="1" applyBorder="1" applyAlignment="1">
      <alignment vertical="center"/>
    </xf>
    <xf numFmtId="0" fontId="24" fillId="7" borderId="21" xfId="0" applyFont="1" applyFill="1" applyBorder="1"/>
    <xf numFmtId="0" fontId="24" fillId="7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9" fillId="8" borderId="34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2" fillId="7" borderId="17" xfId="0" applyNumberFormat="1" applyFont="1" applyFill="1" applyBorder="1" applyAlignment="1">
      <alignment horizontal="right"/>
    </xf>
    <xf numFmtId="3" fontId="9" fillId="5" borderId="34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9" fillId="6" borderId="34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2" fillId="7" borderId="18" xfId="0" applyNumberFormat="1" applyFont="1" applyFill="1" applyBorder="1" applyAlignment="1">
      <alignment horizontal="right"/>
    </xf>
    <xf numFmtId="3" fontId="12" fillId="7" borderId="35" xfId="0" applyNumberFormat="1" applyFont="1" applyFill="1" applyBorder="1" applyAlignment="1">
      <alignment horizontal="right"/>
    </xf>
    <xf numFmtId="3" fontId="12" fillId="7" borderId="17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19" fillId="5" borderId="34" xfId="0" applyNumberFormat="1" applyFont="1" applyFill="1" applyBorder="1" applyAlignment="1">
      <alignment horizontal="right"/>
    </xf>
    <xf numFmtId="3" fontId="12" fillId="7" borderId="19" xfId="0" applyNumberFormat="1" applyFont="1" applyFill="1" applyBorder="1" applyAlignment="1">
      <alignment horizontal="right"/>
    </xf>
    <xf numFmtId="3" fontId="12" fillId="7" borderId="39" xfId="0" applyNumberFormat="1" applyFont="1" applyFill="1" applyBorder="1" applyAlignment="1">
      <alignment horizontal="right"/>
    </xf>
    <xf numFmtId="3" fontId="12" fillId="7" borderId="2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2" fillId="7" borderId="3" xfId="0" applyNumberFormat="1" applyFont="1" applyFill="1" applyBorder="1" applyAlignment="1">
      <alignment horizontal="right"/>
    </xf>
    <xf numFmtId="3" fontId="10" fillId="0" borderId="1" xfId="0" applyNumberFormat="1" applyFont="1" applyBorder="1" applyAlignment="1">
      <alignment horizontal="right" vertical="center"/>
    </xf>
    <xf numFmtId="3" fontId="12" fillId="7" borderId="3" xfId="0" applyNumberFormat="1" applyFont="1" applyFill="1" applyBorder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3" fontId="11" fillId="7" borderId="18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 vertical="center" wrapText="1"/>
    </xf>
    <xf numFmtId="3" fontId="26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3" fillId="7" borderId="18" xfId="0" applyNumberFormat="1" applyFont="1" applyFill="1" applyBorder="1" applyAlignment="1">
      <alignment horizontal="right"/>
    </xf>
    <xf numFmtId="3" fontId="26" fillId="5" borderId="34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23" fillId="7" borderId="35" xfId="0" applyNumberFormat="1" applyFont="1" applyFill="1" applyBorder="1" applyAlignment="1">
      <alignment horizontal="right"/>
    </xf>
    <xf numFmtId="3" fontId="11" fillId="7" borderId="35" xfId="0" applyNumberFormat="1" applyFont="1" applyFill="1" applyBorder="1" applyAlignment="1">
      <alignment horizontal="right"/>
    </xf>
    <xf numFmtId="3" fontId="21" fillId="7" borderId="35" xfId="0" applyNumberFormat="1" applyFont="1" applyFill="1" applyBorder="1" applyAlignment="1">
      <alignment horizontal="right"/>
    </xf>
    <xf numFmtId="4" fontId="12" fillId="7" borderId="35" xfId="0" applyNumberFormat="1" applyFont="1" applyFill="1" applyBorder="1" applyAlignment="1">
      <alignment horizontal="right"/>
    </xf>
    <xf numFmtId="3" fontId="3" fillId="7" borderId="35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13" fillId="6" borderId="34" xfId="0" applyNumberFormat="1" applyFont="1" applyFill="1" applyBorder="1" applyAlignment="1">
      <alignment horizontal="right"/>
    </xf>
    <xf numFmtId="0" fontId="1" fillId="0" borderId="0" xfId="0" applyFont="1" applyAlignment="1">
      <alignment horizontal="right" vertical="center"/>
    </xf>
    <xf numFmtId="4" fontId="26" fillId="0" borderId="34" xfId="0" applyNumberFormat="1" applyFont="1" applyBorder="1" applyAlignment="1">
      <alignment horizontal="center" vertical="center"/>
    </xf>
    <xf numFmtId="3" fontId="26" fillId="0" borderId="34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3" fontId="4" fillId="0" borderId="28" xfId="0" applyNumberFormat="1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right" vertical="distributed"/>
    </xf>
    <xf numFmtId="3" fontId="12" fillId="7" borderId="42" xfId="0" applyNumberFormat="1" applyFont="1" applyFill="1" applyBorder="1" applyAlignment="1">
      <alignment horizontal="right"/>
    </xf>
    <xf numFmtId="3" fontId="12" fillId="7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2" fillId="7" borderId="37" xfId="0" applyNumberFormat="1" applyFont="1" applyFill="1" applyBorder="1" applyAlignment="1">
      <alignment horizontal="right"/>
    </xf>
    <xf numFmtId="3" fontId="12" fillId="7" borderId="38" xfId="0" applyNumberFormat="1" applyFont="1" applyFill="1" applyBorder="1" applyAlignment="1">
      <alignment horizontal="right"/>
    </xf>
    <xf numFmtId="3" fontId="12" fillId="7" borderId="36" xfId="0" applyNumberFormat="1" applyFont="1" applyFill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 vertical="center"/>
    </xf>
    <xf numFmtId="165" fontId="3" fillId="7" borderId="3" xfId="0" applyNumberFormat="1" applyFont="1" applyFill="1" applyBorder="1" applyAlignment="1">
      <alignment horizontal="right"/>
    </xf>
    <xf numFmtId="0" fontId="7" fillId="0" borderId="43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3" fillId="0" borderId="36" xfId="0" applyFont="1" applyBorder="1" applyAlignment="1">
      <alignment vertical="center" wrapText="1"/>
    </xf>
    <xf numFmtId="4" fontId="3" fillId="0" borderId="36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/>
    </xf>
    <xf numFmtId="165" fontId="3" fillId="0" borderId="36" xfId="0" applyNumberFormat="1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64" fontId="7" fillId="0" borderId="2" xfId="0" applyNumberFormat="1" applyFont="1" applyBorder="1"/>
    <xf numFmtId="164" fontId="7" fillId="3" borderId="25" xfId="0" applyNumberFormat="1" applyFont="1" applyFill="1" applyBorder="1"/>
    <xf numFmtId="164" fontId="7" fillId="3" borderId="24" xfId="0" applyNumberFormat="1" applyFont="1" applyFill="1" applyBorder="1"/>
    <xf numFmtId="3" fontId="8" fillId="3" borderId="16" xfId="0" applyNumberFormat="1" applyFont="1" applyFill="1" applyBorder="1"/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3" fontId="2" fillId="0" borderId="3" xfId="0" applyNumberFormat="1" applyFont="1" applyBorder="1"/>
    <xf numFmtId="0" fontId="8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5" xfId="0" applyFont="1" applyBorder="1"/>
    <xf numFmtId="0" fontId="2" fillId="0" borderId="16" xfId="0" applyFont="1" applyBorder="1"/>
    <xf numFmtId="3" fontId="2" fillId="0" borderId="16" xfId="0" applyNumberFormat="1" applyFont="1" applyBorder="1"/>
    <xf numFmtId="3" fontId="7" fillId="0" borderId="16" xfId="0" applyNumberFormat="1" applyFont="1" applyBorder="1"/>
    <xf numFmtId="0" fontId="2" fillId="0" borderId="17" xfId="0" applyFont="1" applyBorder="1"/>
    <xf numFmtId="0" fontId="2" fillId="0" borderId="3" xfId="0" applyFont="1" applyBorder="1"/>
    <xf numFmtId="3" fontId="7" fillId="0" borderId="3" xfId="0" applyNumberFormat="1" applyFont="1" applyBorder="1"/>
    <xf numFmtId="49" fontId="7" fillId="0" borderId="20" xfId="0" applyNumberFormat="1" applyFont="1" applyBorder="1"/>
    <xf numFmtId="49" fontId="7" fillId="0" borderId="1" xfId="0" applyNumberFormat="1" applyFont="1" applyBorder="1"/>
    <xf numFmtId="49" fontId="7" fillId="0" borderId="26" xfId="0" applyNumberFormat="1" applyFont="1" applyBorder="1"/>
    <xf numFmtId="49" fontId="7" fillId="0" borderId="16" xfId="0" applyNumberFormat="1" applyFont="1" applyBorder="1"/>
    <xf numFmtId="49" fontId="7" fillId="0" borderId="45" xfId="0" applyNumberFormat="1" applyFont="1" applyBorder="1"/>
    <xf numFmtId="49" fontId="7" fillId="0" borderId="3" xfId="0" applyNumberFormat="1" applyFont="1" applyBorder="1"/>
    <xf numFmtId="49" fontId="7" fillId="3" borderId="26" xfId="0" applyNumberFormat="1" applyFont="1" applyFill="1" applyBorder="1"/>
    <xf numFmtId="49" fontId="7" fillId="3" borderId="16" xfId="0" applyNumberFormat="1" applyFont="1" applyFill="1" applyBorder="1"/>
    <xf numFmtId="49" fontId="7" fillId="0" borderId="0" xfId="0" applyNumberFormat="1" applyFont="1"/>
    <xf numFmtId="49" fontId="7" fillId="2" borderId="28" xfId="0" applyNumberFormat="1" applyFont="1" applyFill="1" applyBorder="1"/>
    <xf numFmtId="49" fontId="7" fillId="4" borderId="3" xfId="0" applyNumberFormat="1" applyFont="1" applyFill="1" applyBorder="1"/>
    <xf numFmtId="49" fontId="7" fillId="4" borderId="1" xfId="0" applyNumberFormat="1" applyFont="1" applyFill="1" applyBorder="1"/>
    <xf numFmtId="49" fontId="7" fillId="2" borderId="16" xfId="0" applyNumberFormat="1" applyFont="1" applyFill="1" applyBorder="1"/>
    <xf numFmtId="49" fontId="7" fillId="2" borderId="6" xfId="0" applyNumberFormat="1" applyFont="1" applyFill="1" applyBorder="1"/>
    <xf numFmtId="49" fontId="8" fillId="0" borderId="1" xfId="0" applyNumberFormat="1" applyFont="1" applyBorder="1"/>
    <xf numFmtId="164" fontId="7" fillId="0" borderId="0" xfId="0" applyNumberFormat="1" applyFont="1"/>
    <xf numFmtId="49" fontId="7" fillId="0" borderId="19" xfId="0" applyNumberFormat="1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wrapText="1"/>
    </xf>
    <xf numFmtId="3" fontId="6" fillId="0" borderId="19" xfId="0" applyNumberFormat="1" applyFont="1" applyBorder="1"/>
    <xf numFmtId="0" fontId="24" fillId="0" borderId="1" xfId="0" applyFont="1" applyBorder="1" applyAlignment="1">
      <alignment horizontal="left"/>
    </xf>
    <xf numFmtId="0" fontId="21" fillId="0" borderId="20" xfId="0" applyFont="1" applyBorder="1"/>
    <xf numFmtId="0" fontId="21" fillId="0" borderId="47" xfId="0" applyFont="1" applyBorder="1"/>
    <xf numFmtId="0" fontId="21" fillId="0" borderId="20" xfId="0" applyFont="1" applyBorder="1" applyAlignment="1">
      <alignment horizontal="left"/>
    </xf>
    <xf numFmtId="0" fontId="24" fillId="0" borderId="20" xfId="0" applyFont="1" applyBorder="1"/>
    <xf numFmtId="0" fontId="21" fillId="0" borderId="0" xfId="0" applyFont="1" applyAlignment="1">
      <alignment horizontal="center" vertical="center"/>
    </xf>
    <xf numFmtId="49" fontId="24" fillId="0" borderId="45" xfId="0" applyNumberFormat="1" applyFont="1" applyBorder="1"/>
    <xf numFmtId="4" fontId="21" fillId="0" borderId="19" xfId="0" applyNumberFormat="1" applyFont="1" applyBorder="1"/>
    <xf numFmtId="4" fontId="24" fillId="0" borderId="1" xfId="0" applyNumberFormat="1" applyFont="1" applyBorder="1"/>
    <xf numFmtId="4" fontId="21" fillId="0" borderId="1" xfId="0" applyNumberFormat="1" applyFont="1" applyBorder="1"/>
    <xf numFmtId="0" fontId="24" fillId="0" borderId="1" xfId="0" applyFont="1" applyBorder="1"/>
    <xf numFmtId="0" fontId="24" fillId="0" borderId="1" xfId="0" applyFont="1" applyBorder="1" applyAlignment="1">
      <alignment wrapText="1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wrapText="1"/>
    </xf>
    <xf numFmtId="0" fontId="24" fillId="0" borderId="3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49" fontId="21" fillId="0" borderId="20" xfId="0" applyNumberFormat="1" applyFont="1" applyBorder="1"/>
    <xf numFmtId="4" fontId="21" fillId="0" borderId="39" xfId="0" applyNumberFormat="1" applyFont="1" applyBorder="1"/>
    <xf numFmtId="4" fontId="21" fillId="0" borderId="3" xfId="0" applyNumberFormat="1" applyFont="1" applyBorder="1"/>
    <xf numFmtId="0" fontId="21" fillId="0" borderId="19" xfId="0" applyFont="1" applyBorder="1"/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/>
    <xf numFmtId="4" fontId="21" fillId="0" borderId="4" xfId="0" applyNumberFormat="1" applyFont="1" applyBorder="1"/>
    <xf numFmtId="165" fontId="21" fillId="0" borderId="1" xfId="0" applyNumberFormat="1" applyFont="1" applyBorder="1" applyAlignment="1">
      <alignment horizontal="right"/>
    </xf>
    <xf numFmtId="4" fontId="24" fillId="0" borderId="3" xfId="0" applyNumberFormat="1" applyFont="1" applyBorder="1"/>
    <xf numFmtId="165" fontId="21" fillId="0" borderId="39" xfId="0" applyNumberFormat="1" applyFont="1" applyBorder="1" applyAlignment="1">
      <alignment horizontal="right" wrapText="1"/>
    </xf>
    <xf numFmtId="165" fontId="21" fillId="0" borderId="19" xfId="0" applyNumberFormat="1" applyFont="1" applyBorder="1" applyAlignment="1">
      <alignment horizontal="right"/>
    </xf>
    <xf numFmtId="165" fontId="21" fillId="0" borderId="39" xfId="0" applyNumberFormat="1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4" fontId="21" fillId="0" borderId="17" xfId="0" applyNumberFormat="1" applyFont="1" applyBorder="1"/>
    <xf numFmtId="0" fontId="21" fillId="0" borderId="48" xfId="0" applyFont="1" applyBorder="1" applyAlignment="1">
      <alignment horizontal="left"/>
    </xf>
    <xf numFmtId="0" fontId="21" fillId="0" borderId="48" xfId="0" applyFont="1" applyBorder="1" applyAlignment="1">
      <alignment wrapText="1"/>
    </xf>
    <xf numFmtId="4" fontId="21" fillId="0" borderId="48" xfId="0" applyNumberFormat="1" applyFont="1" applyBorder="1"/>
    <xf numFmtId="165" fontId="21" fillId="0" borderId="48" xfId="0" applyNumberFormat="1" applyFont="1" applyBorder="1" applyAlignment="1">
      <alignment horizontal="right"/>
    </xf>
    <xf numFmtId="0" fontId="0" fillId="0" borderId="49" xfId="0" applyBorder="1"/>
    <xf numFmtId="0" fontId="24" fillId="0" borderId="3" xfId="0" applyFont="1" applyBorder="1" applyAlignment="1">
      <alignment horizontal="left"/>
    </xf>
    <xf numFmtId="0" fontId="4" fillId="0" borderId="7" xfId="0" applyFont="1" applyBorder="1"/>
    <xf numFmtId="4" fontId="21" fillId="0" borderId="12" xfId="0" applyNumberFormat="1" applyFont="1" applyBorder="1"/>
    <xf numFmtId="4" fontId="21" fillId="0" borderId="50" xfId="0" applyNumberFormat="1" applyFont="1" applyBorder="1"/>
    <xf numFmtId="0" fontId="21" fillId="0" borderId="39" xfId="0" applyFont="1" applyBorder="1"/>
    <xf numFmtId="0" fontId="21" fillId="0" borderId="39" xfId="0" applyFont="1" applyBorder="1" applyAlignment="1">
      <alignment wrapText="1"/>
    </xf>
    <xf numFmtId="0" fontId="21" fillId="0" borderId="39" xfId="0" applyFont="1" applyBorder="1" applyAlignment="1">
      <alignment vertical="distributed" wrapText="1"/>
    </xf>
    <xf numFmtId="0" fontId="21" fillId="0" borderId="1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/>
    </xf>
    <xf numFmtId="4" fontId="17" fillId="9" borderId="28" xfId="0" applyNumberFormat="1" applyFont="1" applyFill="1" applyBorder="1" applyAlignment="1">
      <alignment horizontal="right" vertical="center"/>
    </xf>
    <xf numFmtId="0" fontId="4" fillId="0" borderId="51" xfId="0" applyFont="1" applyBorder="1"/>
    <xf numFmtId="165" fontId="21" fillId="0" borderId="52" xfId="0" applyNumberFormat="1" applyFont="1" applyBorder="1" applyAlignment="1">
      <alignment horizontal="right"/>
    </xf>
    <xf numFmtId="165" fontId="21" fillId="0" borderId="23" xfId="0" applyNumberFormat="1" applyFont="1" applyBorder="1" applyAlignment="1">
      <alignment horizontal="right"/>
    </xf>
    <xf numFmtId="49" fontId="24" fillId="0" borderId="20" xfId="0" applyNumberFormat="1" applyFont="1" applyBorder="1"/>
    <xf numFmtId="49" fontId="21" fillId="0" borderId="53" xfId="0" applyNumberFormat="1" applyFont="1" applyBorder="1"/>
    <xf numFmtId="165" fontId="21" fillId="0" borderId="54" xfId="0" applyNumberFormat="1" applyFont="1" applyBorder="1" applyAlignment="1">
      <alignment horizontal="right"/>
    </xf>
    <xf numFmtId="0" fontId="21" fillId="0" borderId="53" xfId="0" applyFont="1" applyBorder="1"/>
    <xf numFmtId="165" fontId="21" fillId="0" borderId="55" xfId="0" applyNumberFormat="1" applyFont="1" applyBorder="1" applyAlignment="1">
      <alignment horizontal="right"/>
    </xf>
    <xf numFmtId="165" fontId="21" fillId="0" borderId="56" xfId="0" applyNumberFormat="1" applyFont="1" applyBorder="1" applyAlignment="1">
      <alignment horizontal="right" wrapText="1"/>
    </xf>
    <xf numFmtId="165" fontId="21" fillId="0" borderId="56" xfId="0" applyNumberFormat="1" applyFont="1" applyBorder="1" applyAlignment="1">
      <alignment horizontal="right"/>
    </xf>
    <xf numFmtId="0" fontId="4" fillId="0" borderId="57" xfId="0" applyFont="1" applyBorder="1"/>
    <xf numFmtId="0" fontId="21" fillId="0" borderId="53" xfId="0" applyFont="1" applyBorder="1" applyAlignment="1">
      <alignment horizontal="left"/>
    </xf>
    <xf numFmtId="0" fontId="21" fillId="0" borderId="48" xfId="0" applyFont="1" applyBorder="1" applyAlignment="1">
      <alignment horizontal="left" vertical="center" wrapText="1"/>
    </xf>
    <xf numFmtId="0" fontId="21" fillId="0" borderId="50" xfId="0" applyFont="1" applyBorder="1"/>
    <xf numFmtId="0" fontId="21" fillId="0" borderId="3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left"/>
    </xf>
    <xf numFmtId="4" fontId="17" fillId="10" borderId="28" xfId="0" applyNumberFormat="1" applyFont="1" applyFill="1" applyBorder="1"/>
    <xf numFmtId="0" fontId="17" fillId="10" borderId="0" xfId="0" applyFont="1" applyFill="1"/>
    <xf numFmtId="165" fontId="18" fillId="10" borderId="28" xfId="0" applyNumberFormat="1" applyFont="1" applyFill="1" applyBorder="1" applyAlignment="1">
      <alignment horizontal="right"/>
    </xf>
    <xf numFmtId="165" fontId="18" fillId="10" borderId="44" xfId="0" applyNumberFormat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4" fontId="17" fillId="11" borderId="31" xfId="0" applyNumberFormat="1" applyFont="1" applyFill="1" applyBorder="1" applyAlignment="1">
      <alignment vertical="center"/>
    </xf>
    <xf numFmtId="0" fontId="17" fillId="11" borderId="0" xfId="0" applyFont="1" applyFill="1" applyAlignment="1">
      <alignment vertical="center"/>
    </xf>
    <xf numFmtId="0" fontId="9" fillId="0" borderId="62" xfId="0" applyFont="1" applyBorder="1"/>
    <xf numFmtId="0" fontId="9" fillId="0" borderId="36" xfId="0" applyFont="1" applyBorder="1"/>
    <xf numFmtId="0" fontId="9" fillId="0" borderId="3" xfId="0" applyFont="1" applyBorder="1"/>
    <xf numFmtId="4" fontId="9" fillId="0" borderId="4" xfId="0" applyNumberFormat="1" applyFont="1" applyBorder="1"/>
    <xf numFmtId="4" fontId="9" fillId="0" borderId="3" xfId="0" applyNumberFormat="1" applyFont="1" applyBorder="1"/>
    <xf numFmtId="0" fontId="9" fillId="0" borderId="51" xfId="0" applyFont="1" applyBorder="1"/>
    <xf numFmtId="4" fontId="9" fillId="0" borderId="1" xfId="0" applyNumberFormat="1" applyFont="1" applyBorder="1"/>
    <xf numFmtId="4" fontId="15" fillId="0" borderId="3" xfId="0" applyNumberFormat="1" applyFont="1" applyBorder="1" applyAlignment="1">
      <alignment horizontal="right"/>
    </xf>
    <xf numFmtId="4" fontId="15" fillId="0" borderId="52" xfId="0" applyNumberFormat="1" applyFont="1" applyBorder="1" applyAlignment="1">
      <alignment horizontal="right"/>
    </xf>
    <xf numFmtId="0" fontId="9" fillId="0" borderId="3" xfId="0" applyFont="1" applyBorder="1" applyAlignment="1">
      <alignment horizontal="left" vertical="distributed" wrapText="1"/>
    </xf>
    <xf numFmtId="4" fontId="9" fillId="0" borderId="39" xfId="0" applyNumberFormat="1" applyFont="1" applyBorder="1"/>
    <xf numFmtId="0" fontId="9" fillId="0" borderId="3" xfId="0" applyFont="1" applyBorder="1" applyAlignment="1">
      <alignment wrapText="1"/>
    </xf>
    <xf numFmtId="0" fontId="4" fillId="0" borderId="63" xfId="0" applyFont="1" applyBorder="1" applyAlignment="1">
      <alignment horizontal="center" vertical="center" wrapText="1"/>
    </xf>
    <xf numFmtId="0" fontId="21" fillId="0" borderId="65" xfId="0" applyFont="1" applyBorder="1" applyAlignment="1">
      <alignment horizontal="left"/>
    </xf>
    <xf numFmtId="0" fontId="21" fillId="0" borderId="65" xfId="0" applyFont="1" applyBorder="1" applyAlignment="1">
      <alignment wrapText="1"/>
    </xf>
    <xf numFmtId="4" fontId="21" fillId="0" borderId="65" xfId="0" applyNumberFormat="1" applyFont="1" applyBorder="1"/>
    <xf numFmtId="0" fontId="21" fillId="0" borderId="0" xfId="0" applyFont="1" applyAlignment="1">
      <alignment shrinkToFit="1"/>
    </xf>
    <xf numFmtId="0" fontId="21" fillId="0" borderId="9" xfId="0" applyFont="1" applyBorder="1" applyAlignment="1">
      <alignment shrinkToFit="1"/>
    </xf>
    <xf numFmtId="0" fontId="18" fillId="0" borderId="61" xfId="0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vertical="center" wrapText="1"/>
    </xf>
    <xf numFmtId="3" fontId="6" fillId="0" borderId="16" xfId="0" applyNumberFormat="1" applyFont="1" applyBorder="1" applyAlignment="1">
      <alignment vertical="center"/>
    </xf>
    <xf numFmtId="165" fontId="7" fillId="0" borderId="31" xfId="0" applyNumberFormat="1" applyFont="1" applyBorder="1" applyAlignment="1">
      <alignment vertical="center"/>
    </xf>
    <xf numFmtId="165" fontId="7" fillId="0" borderId="10" xfId="0" applyNumberFormat="1" applyFont="1" applyBorder="1" applyAlignment="1">
      <alignment vertical="center"/>
    </xf>
    <xf numFmtId="165" fontId="21" fillId="0" borderId="65" xfId="0" applyNumberFormat="1" applyFont="1" applyBorder="1" applyAlignment="1">
      <alignment horizontal="right"/>
    </xf>
    <xf numFmtId="165" fontId="21" fillId="0" borderId="66" xfId="0" applyNumberFormat="1" applyFont="1" applyBorder="1" applyAlignment="1">
      <alignment horizontal="right"/>
    </xf>
    <xf numFmtId="0" fontId="24" fillId="0" borderId="45" xfId="0" applyFont="1" applyBorder="1"/>
    <xf numFmtId="0" fontId="24" fillId="10" borderId="0" xfId="0" applyFont="1" applyFill="1"/>
    <xf numFmtId="0" fontId="4" fillId="0" borderId="61" xfId="0" applyFont="1" applyBorder="1" applyAlignment="1">
      <alignment horizontal="center" vertical="center" textRotation="90"/>
    </xf>
    <xf numFmtId="0" fontId="21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49" fontId="21" fillId="0" borderId="47" xfId="0" applyNumberFormat="1" applyFont="1" applyBorder="1"/>
    <xf numFmtId="0" fontId="24" fillId="0" borderId="0" xfId="0" applyFont="1" applyAlignment="1">
      <alignment wrapText="1"/>
    </xf>
    <xf numFmtId="0" fontId="15" fillId="0" borderId="61" xfId="0" applyFont="1" applyBorder="1" applyAlignment="1">
      <alignment horizontal="center" vertical="center"/>
    </xf>
    <xf numFmtId="0" fontId="16" fillId="0" borderId="0" xfId="0" applyFont="1"/>
    <xf numFmtId="0" fontId="32" fillId="0" borderId="0" xfId="0" applyFont="1"/>
    <xf numFmtId="0" fontId="16" fillId="0" borderId="0" xfId="0" applyFont="1" applyAlignment="1">
      <alignment wrapText="1"/>
    </xf>
    <xf numFmtId="4" fontId="16" fillId="0" borderId="0" xfId="0" applyNumberFormat="1" applyFont="1"/>
    <xf numFmtId="49" fontId="7" fillId="2" borderId="43" xfId="0" applyNumberFormat="1" applyFont="1" applyFill="1" applyBorder="1" applyAlignment="1">
      <alignment horizontal="center" vertical="center"/>
    </xf>
    <xf numFmtId="49" fontId="7" fillId="4" borderId="45" xfId="0" applyNumberFormat="1" applyFont="1" applyFill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4" borderId="20" xfId="0" applyNumberFormat="1" applyFont="1" applyFill="1" applyBorder="1" applyAlignment="1">
      <alignment horizontal="center" vertical="center"/>
    </xf>
    <xf numFmtId="49" fontId="7" fillId="0" borderId="45" xfId="0" applyNumberFormat="1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center" vertical="center"/>
    </xf>
    <xf numFmtId="49" fontId="7" fillId="2" borderId="26" xfId="0" applyNumberFormat="1" applyFont="1" applyFill="1" applyBorder="1" applyAlignment="1">
      <alignment horizontal="center" vertical="center"/>
    </xf>
    <xf numFmtId="49" fontId="7" fillId="0" borderId="2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9" fontId="7" fillId="12" borderId="5" xfId="0" applyNumberFormat="1" applyFont="1" applyFill="1" applyBorder="1" applyAlignment="1">
      <alignment horizontal="center" vertical="center" wrapText="1"/>
    </xf>
    <xf numFmtId="49" fontId="7" fillId="12" borderId="6" xfId="0" applyNumberFormat="1" applyFont="1" applyFill="1" applyBorder="1"/>
    <xf numFmtId="0" fontId="5" fillId="12" borderId="12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/>
    </xf>
    <xf numFmtId="0" fontId="28" fillId="12" borderId="33" xfId="0" applyFont="1" applyFill="1" applyBorder="1" applyAlignment="1">
      <alignment horizontal="center" vertical="center" wrapText="1"/>
    </xf>
    <xf numFmtId="0" fontId="1" fillId="12" borderId="0" xfId="0" applyFont="1" applyFill="1"/>
    <xf numFmtId="49" fontId="7" fillId="12" borderId="26" xfId="0" applyNumberFormat="1" applyFont="1" applyFill="1" applyBorder="1"/>
    <xf numFmtId="49" fontId="7" fillId="12" borderId="16" xfId="0" applyNumberFormat="1" applyFont="1" applyFill="1" applyBorder="1"/>
    <xf numFmtId="0" fontId="7" fillId="12" borderId="15" xfId="0" applyFont="1" applyFill="1" applyBorder="1" applyAlignment="1">
      <alignment horizontal="center" vertical="center" wrapText="1"/>
    </xf>
    <xf numFmtId="0" fontId="7" fillId="12" borderId="16" xfId="0" applyFont="1" applyFill="1" applyBorder="1"/>
    <xf numFmtId="0" fontId="7" fillId="12" borderId="16" xfId="0" applyFont="1" applyFill="1" applyBorder="1" applyAlignment="1">
      <alignment horizontal="center"/>
    </xf>
    <xf numFmtId="0" fontId="7" fillId="12" borderId="25" xfId="0" applyFont="1" applyFill="1" applyBorder="1" applyAlignment="1">
      <alignment horizontal="center"/>
    </xf>
    <xf numFmtId="0" fontId="7" fillId="12" borderId="0" xfId="0" applyFont="1" applyFill="1"/>
    <xf numFmtId="0" fontId="2" fillId="12" borderId="7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0" fontId="7" fillId="12" borderId="32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49" fontId="7" fillId="12" borderId="31" xfId="0" applyNumberFormat="1" applyFont="1" applyFill="1" applyBorder="1" applyAlignment="1">
      <alignment horizontal="center"/>
    </xf>
    <xf numFmtId="0" fontId="2" fillId="12" borderId="9" xfId="0" applyFont="1" applyFill="1" applyBorder="1"/>
    <xf numFmtId="0" fontId="2" fillId="12" borderId="10" xfId="0" applyFont="1" applyFill="1" applyBorder="1"/>
    <xf numFmtId="0" fontId="11" fillId="12" borderId="26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/>
    </xf>
    <xf numFmtId="0" fontId="28" fillId="12" borderId="16" xfId="0" applyFont="1" applyFill="1" applyBorder="1" applyAlignment="1">
      <alignment horizontal="center" vertical="center" wrapText="1"/>
    </xf>
    <xf numFmtId="0" fontId="28" fillId="12" borderId="24" xfId="0" applyFont="1" applyFill="1" applyBorder="1" applyAlignment="1">
      <alignment horizontal="center" vertical="center" wrapText="1"/>
    </xf>
    <xf numFmtId="49" fontId="7" fillId="12" borderId="40" xfId="0" applyNumberFormat="1" applyFont="1" applyFill="1" applyBorder="1" applyAlignment="1">
      <alignment horizontal="center"/>
    </xf>
    <xf numFmtId="49" fontId="7" fillId="12" borderId="70" xfId="0" applyNumberFormat="1" applyFont="1" applyFill="1" applyBorder="1" applyAlignment="1">
      <alignment horizontal="center"/>
    </xf>
    <xf numFmtId="49" fontId="7" fillId="12" borderId="69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10" fillId="0" borderId="0" xfId="0" applyFont="1" applyAlignment="1">
      <alignment wrapText="1"/>
    </xf>
    <xf numFmtId="4" fontId="4" fillId="0" borderId="0" xfId="0" applyNumberFormat="1" applyFont="1"/>
    <xf numFmtId="165" fontId="4" fillId="0" borderId="0" xfId="0" applyNumberFormat="1" applyFont="1"/>
    <xf numFmtId="49" fontId="4" fillId="0" borderId="13" xfId="0" applyNumberFormat="1" applyFont="1" applyBorder="1"/>
    <xf numFmtId="49" fontId="7" fillId="0" borderId="9" xfId="0" applyNumberFormat="1" applyFont="1" applyBorder="1"/>
    <xf numFmtId="0" fontId="7" fillId="0" borderId="0" xfId="0" applyFont="1"/>
    <xf numFmtId="49" fontId="7" fillId="0" borderId="7" xfId="0" applyNumberFormat="1" applyFont="1" applyBorder="1"/>
    <xf numFmtId="49" fontId="4" fillId="0" borderId="9" xfId="0" applyNumberFormat="1" applyFont="1" applyBorder="1"/>
    <xf numFmtId="0" fontId="10" fillId="0" borderId="9" xfId="0" applyFont="1" applyBorder="1"/>
    <xf numFmtId="0" fontId="10" fillId="0" borderId="9" xfId="0" applyFont="1" applyBorder="1" applyAlignment="1">
      <alignment wrapText="1"/>
    </xf>
    <xf numFmtId="4" fontId="4" fillId="0" borderId="9" xfId="0" applyNumberFormat="1" applyFont="1" applyBorder="1"/>
    <xf numFmtId="0" fontId="4" fillId="0" borderId="9" xfId="0" applyFont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21" fillId="0" borderId="20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/>
    </xf>
    <xf numFmtId="0" fontId="21" fillId="0" borderId="48" xfId="0" applyFont="1" applyBorder="1" applyAlignment="1">
      <alignment horizontal="left" vertical="center"/>
    </xf>
    <xf numFmtId="0" fontId="21" fillId="0" borderId="48" xfId="0" applyFont="1" applyBorder="1" applyAlignment="1">
      <alignment vertical="center" wrapText="1"/>
    </xf>
    <xf numFmtId="4" fontId="21" fillId="0" borderId="48" xfId="0" applyNumberFormat="1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33" fillId="0" borderId="9" xfId="0" applyFont="1" applyBorder="1" applyAlignment="1">
      <alignment shrinkToFit="1"/>
    </xf>
    <xf numFmtId="4" fontId="34" fillId="11" borderId="31" xfId="0" applyNumberFormat="1" applyFont="1" applyFill="1" applyBorder="1" applyAlignment="1">
      <alignment vertical="center"/>
    </xf>
    <xf numFmtId="4" fontId="34" fillId="10" borderId="28" xfId="0" applyNumberFormat="1" applyFont="1" applyFill="1" applyBorder="1"/>
    <xf numFmtId="4" fontId="33" fillId="0" borderId="50" xfId="0" applyNumberFormat="1" applyFont="1" applyBorder="1"/>
    <xf numFmtId="4" fontId="33" fillId="0" borderId="39" xfId="0" applyNumberFormat="1" applyFont="1" applyBorder="1"/>
    <xf numFmtId="4" fontId="36" fillId="0" borderId="3" xfId="0" applyNumberFormat="1" applyFont="1" applyBorder="1"/>
    <xf numFmtId="4" fontId="37" fillId="0" borderId="3" xfId="0" applyNumberFormat="1" applyFont="1" applyBorder="1"/>
    <xf numFmtId="4" fontId="33" fillId="0" borderId="1" xfId="0" applyNumberFormat="1" applyFont="1" applyBorder="1"/>
    <xf numFmtId="4" fontId="37" fillId="0" borderId="1" xfId="0" applyNumberFormat="1" applyFont="1" applyBorder="1"/>
    <xf numFmtId="4" fontId="33" fillId="0" borderId="48" xfId="0" applyNumberFormat="1" applyFont="1" applyBorder="1"/>
    <xf numFmtId="4" fontId="33" fillId="0" borderId="19" xfId="0" applyNumberFormat="1" applyFont="1" applyBorder="1"/>
    <xf numFmtId="4" fontId="33" fillId="0" borderId="65" xfId="0" applyNumberFormat="1" applyFont="1" applyBorder="1"/>
    <xf numFmtId="4" fontId="34" fillId="9" borderId="28" xfId="0" applyNumberFormat="1" applyFont="1" applyFill="1" applyBorder="1" applyAlignment="1">
      <alignment horizontal="right" vertical="center"/>
    </xf>
    <xf numFmtId="0" fontId="38" fillId="0" borderId="0" xfId="0" applyFont="1"/>
    <xf numFmtId="0" fontId="9" fillId="13" borderId="0" xfId="0" applyFont="1" applyFill="1"/>
    <xf numFmtId="0" fontId="10" fillId="13" borderId="0" xfId="0" applyFont="1" applyFill="1"/>
    <xf numFmtId="0" fontId="0" fillId="13" borderId="0" xfId="0" applyFill="1"/>
    <xf numFmtId="0" fontId="24" fillId="13" borderId="0" xfId="0" applyFont="1" applyFill="1"/>
    <xf numFmtId="0" fontId="0" fillId="13" borderId="0" xfId="0" applyFill="1" applyAlignment="1">
      <alignment vertical="center"/>
    </xf>
    <xf numFmtId="4" fontId="30" fillId="9" borderId="28" xfId="0" applyNumberFormat="1" applyFont="1" applyFill="1" applyBorder="1" applyAlignment="1">
      <alignment vertical="center"/>
    </xf>
    <xf numFmtId="4" fontId="17" fillId="10" borderId="28" xfId="0" applyNumberFormat="1" applyFont="1" applyFill="1" applyBorder="1" applyAlignment="1">
      <alignment vertical="center"/>
    </xf>
    <xf numFmtId="4" fontId="21" fillId="0" borderId="3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" fontId="9" fillId="0" borderId="39" xfId="0" applyNumberFormat="1" applyFont="1" applyBorder="1" applyAlignment="1">
      <alignment vertical="center"/>
    </xf>
    <xf numFmtId="4" fontId="34" fillId="10" borderId="28" xfId="0" applyNumberFormat="1" applyFont="1" applyFill="1" applyBorder="1" applyAlignment="1">
      <alignment vertical="center"/>
    </xf>
    <xf numFmtId="4" fontId="17" fillId="10" borderId="28" xfId="0" applyNumberFormat="1" applyFont="1" applyFill="1" applyBorder="1" applyAlignment="1">
      <alignment vertical="center" wrapText="1"/>
    </xf>
    <xf numFmtId="165" fontId="18" fillId="10" borderId="28" xfId="0" applyNumberFormat="1" applyFont="1" applyFill="1" applyBorder="1" applyAlignment="1">
      <alignment horizontal="right" vertical="center"/>
    </xf>
    <xf numFmtId="165" fontId="18" fillId="10" borderId="44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shrinkToFit="1"/>
    </xf>
    <xf numFmtId="165" fontId="18" fillId="9" borderId="28" xfId="0" applyNumberFormat="1" applyFont="1" applyFill="1" applyBorder="1" applyAlignment="1">
      <alignment horizontal="right" vertical="center"/>
    </xf>
    <xf numFmtId="165" fontId="18" fillId="9" borderId="44" xfId="0" applyNumberFormat="1" applyFont="1" applyFill="1" applyBorder="1" applyAlignment="1">
      <alignment horizontal="right" vertical="center"/>
    </xf>
    <xf numFmtId="4" fontId="34" fillId="10" borderId="28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7" fillId="10" borderId="0" xfId="0" applyFont="1" applyFill="1" applyAlignment="1">
      <alignment vertical="center"/>
    </xf>
    <xf numFmtId="4" fontId="18" fillId="10" borderId="28" xfId="0" applyNumberFormat="1" applyFont="1" applyFill="1" applyBorder="1" applyAlignment="1">
      <alignment horizontal="right" vertical="center"/>
    </xf>
    <xf numFmtId="4" fontId="35" fillId="9" borderId="28" xfId="0" applyNumberFormat="1" applyFont="1" applyFill="1" applyBorder="1" applyAlignment="1">
      <alignment vertical="center"/>
    </xf>
    <xf numFmtId="165" fontId="31" fillId="9" borderId="28" xfId="0" applyNumberFormat="1" applyFont="1" applyFill="1" applyBorder="1" applyAlignment="1">
      <alignment horizontal="right" vertical="center"/>
    </xf>
    <xf numFmtId="165" fontId="31" fillId="9" borderId="44" xfId="0" applyNumberFormat="1" applyFont="1" applyFill="1" applyBorder="1" applyAlignment="1">
      <alignment horizontal="right" vertical="center"/>
    </xf>
    <xf numFmtId="0" fontId="30" fillId="9" borderId="0" xfId="0" applyFont="1" applyFill="1" applyAlignment="1">
      <alignment vertical="center"/>
    </xf>
    <xf numFmtId="0" fontId="21" fillId="0" borderId="4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33" fillId="0" borderId="31" xfId="0" applyFont="1" applyBorder="1" applyAlignment="1">
      <alignment horizontal="center" vertical="center"/>
    </xf>
    <xf numFmtId="0" fontId="34" fillId="0" borderId="0" xfId="0" applyFont="1" applyAlignment="1">
      <alignment horizontal="left" shrinkToFit="1"/>
    </xf>
    <xf numFmtId="4" fontId="33" fillId="0" borderId="39" xfId="0" applyNumberFormat="1" applyFont="1" applyBorder="1" applyAlignment="1">
      <alignment vertical="center"/>
    </xf>
    <xf numFmtId="4" fontId="36" fillId="0" borderId="39" xfId="0" applyNumberFormat="1" applyFont="1" applyBorder="1" applyAlignment="1">
      <alignment vertical="center"/>
    </xf>
    <xf numFmtId="4" fontId="36" fillId="0" borderId="3" xfId="0" applyNumberFormat="1" applyFont="1" applyBorder="1" applyAlignment="1">
      <alignment vertical="center"/>
    </xf>
    <xf numFmtId="4" fontId="37" fillId="0" borderId="1" xfId="0" applyNumberFormat="1" applyFont="1" applyBorder="1" applyAlignment="1">
      <alignment vertical="center"/>
    </xf>
    <xf numFmtId="0" fontId="33" fillId="0" borderId="0" xfId="0" applyFont="1"/>
    <xf numFmtId="0" fontId="39" fillId="0" borderId="0" xfId="0" applyFont="1"/>
    <xf numFmtId="0" fontId="40" fillId="12" borderId="6" xfId="0" applyFont="1" applyFill="1" applyBorder="1" applyAlignment="1">
      <alignment horizontal="center"/>
    </xf>
    <xf numFmtId="3" fontId="40" fillId="0" borderId="1" xfId="0" applyNumberFormat="1" applyFont="1" applyBorder="1"/>
    <xf numFmtId="3" fontId="40" fillId="0" borderId="16" xfId="0" applyNumberFormat="1" applyFont="1" applyBorder="1"/>
    <xf numFmtId="4" fontId="39" fillId="0" borderId="1" xfId="0" applyNumberFormat="1" applyFont="1" applyBorder="1"/>
    <xf numFmtId="3" fontId="39" fillId="0" borderId="0" xfId="0" applyNumberFormat="1" applyFont="1"/>
    <xf numFmtId="0" fontId="40" fillId="0" borderId="0" xfId="0" applyFont="1"/>
    <xf numFmtId="0" fontId="40" fillId="12" borderId="16" xfId="0" applyFont="1" applyFill="1" applyBorder="1" applyAlignment="1">
      <alignment horizontal="center"/>
    </xf>
    <xf numFmtId="0" fontId="40" fillId="0" borderId="7" xfId="0" applyFont="1" applyBorder="1" applyAlignment="1">
      <alignment horizontal="center"/>
    </xf>
    <xf numFmtId="4" fontId="38" fillId="0" borderId="9" xfId="0" applyNumberFormat="1" applyFont="1" applyBorder="1"/>
    <xf numFmtId="3" fontId="39" fillId="4" borderId="3" xfId="0" applyNumberFormat="1" applyFont="1" applyFill="1" applyBorder="1"/>
    <xf numFmtId="3" fontId="39" fillId="0" borderId="1" xfId="0" applyNumberFormat="1" applyFont="1" applyBorder="1"/>
    <xf numFmtId="3" fontId="39" fillId="4" borderId="1" xfId="0" applyNumberFormat="1" applyFont="1" applyFill="1" applyBorder="1"/>
    <xf numFmtId="3" fontId="39" fillId="2" borderId="16" xfId="0" applyNumberFormat="1" applyFont="1" applyFill="1" applyBorder="1"/>
    <xf numFmtId="3" fontId="40" fillId="0" borderId="0" xfId="0" applyNumberFormat="1" applyFont="1"/>
    <xf numFmtId="4" fontId="38" fillId="0" borderId="0" xfId="0" applyNumberFormat="1" applyFont="1"/>
    <xf numFmtId="3" fontId="39" fillId="2" borderId="6" xfId="0" applyNumberFormat="1" applyFont="1" applyFill="1" applyBorder="1"/>
    <xf numFmtId="3" fontId="40" fillId="0" borderId="16" xfId="0" applyNumberFormat="1" applyFont="1" applyBorder="1" applyAlignment="1">
      <alignment vertical="center"/>
    </xf>
    <xf numFmtId="4" fontId="40" fillId="0" borderId="0" xfId="0" applyNumberFormat="1" applyFont="1"/>
    <xf numFmtId="0" fontId="41" fillId="0" borderId="0" xfId="0" applyFont="1"/>
    <xf numFmtId="0" fontId="42" fillId="12" borderId="6" xfId="0" applyFont="1" applyFill="1" applyBorder="1" applyAlignment="1">
      <alignment horizontal="center" vertical="center" wrapText="1"/>
    </xf>
    <xf numFmtId="0" fontId="37" fillId="12" borderId="16" xfId="0" applyFont="1" applyFill="1" applyBorder="1" applyAlignment="1">
      <alignment horizontal="center" vertical="center" wrapText="1"/>
    </xf>
    <xf numFmtId="4" fontId="39" fillId="2" borderId="28" xfId="0" applyNumberFormat="1" applyFont="1" applyFill="1" applyBorder="1"/>
    <xf numFmtId="4" fontId="39" fillId="4" borderId="3" xfId="0" applyNumberFormat="1" applyFont="1" applyFill="1" applyBorder="1"/>
    <xf numFmtId="4" fontId="40" fillId="0" borderId="1" xfId="0" applyNumberFormat="1" applyFont="1" applyBorder="1"/>
    <xf numFmtId="4" fontId="39" fillId="4" borderId="1" xfId="0" applyNumberFormat="1" applyFont="1" applyFill="1" applyBorder="1"/>
    <xf numFmtId="4" fontId="40" fillId="0" borderId="3" xfId="0" applyNumberFormat="1" applyFont="1" applyBorder="1"/>
    <xf numFmtId="4" fontId="39" fillId="2" borderId="16" xfId="0" applyNumberFormat="1" applyFont="1" applyFill="1" applyBorder="1"/>
    <xf numFmtId="4" fontId="39" fillId="0" borderId="3" xfId="0" applyNumberFormat="1" applyFont="1" applyBorder="1"/>
    <xf numFmtId="4" fontId="40" fillId="0" borderId="16" xfId="0" applyNumberFormat="1" applyFont="1" applyBorder="1"/>
    <xf numFmtId="4" fontId="39" fillId="3" borderId="16" xfId="0" applyNumberFormat="1" applyFont="1" applyFill="1" applyBorder="1"/>
    <xf numFmtId="0" fontId="43" fillId="0" borderId="0" xfId="0" applyFont="1" applyAlignment="1">
      <alignment vertical="center"/>
    </xf>
    <xf numFmtId="0" fontId="44" fillId="0" borderId="0" xfId="0" applyFont="1"/>
    <xf numFmtId="0" fontId="45" fillId="0" borderId="61" xfId="0" applyFont="1" applyBorder="1" applyAlignment="1">
      <alignment horizontal="center" vertical="center" wrapText="1"/>
    </xf>
    <xf numFmtId="49" fontId="7" fillId="14" borderId="5" xfId="0" applyNumberFormat="1" applyFont="1" applyFill="1" applyBorder="1"/>
    <xf numFmtId="49" fontId="7" fillId="14" borderId="6" xfId="0" applyNumberFormat="1" applyFont="1" applyFill="1" applyBorder="1"/>
    <xf numFmtId="0" fontId="2" fillId="14" borderId="12" xfId="0" applyFont="1" applyFill="1" applyBorder="1"/>
    <xf numFmtId="0" fontId="2" fillId="14" borderId="6" xfId="0" applyFont="1" applyFill="1" applyBorder="1"/>
    <xf numFmtId="3" fontId="2" fillId="14" borderId="6" xfId="0" applyNumberFormat="1" applyFont="1" applyFill="1" applyBorder="1"/>
    <xf numFmtId="4" fontId="39" fillId="14" borderId="6" xfId="0" applyNumberFormat="1" applyFont="1" applyFill="1" applyBorder="1"/>
    <xf numFmtId="0" fontId="1" fillId="14" borderId="0" xfId="0" applyFont="1" applyFill="1"/>
    <xf numFmtId="49" fontId="7" fillId="0" borderId="2" xfId="0" applyNumberFormat="1" applyFont="1" applyBorder="1"/>
    <xf numFmtId="0" fontId="2" fillId="0" borderId="72" xfId="0" applyFont="1" applyBorder="1"/>
    <xf numFmtId="49" fontId="7" fillId="0" borderId="4" xfId="0" applyNumberFormat="1" applyFont="1" applyBorder="1"/>
    <xf numFmtId="49" fontId="7" fillId="0" borderId="71" xfId="0" applyNumberFormat="1" applyFont="1" applyBorder="1"/>
    <xf numFmtId="4" fontId="2" fillId="0" borderId="4" xfId="0" applyNumberFormat="1" applyFont="1" applyBorder="1"/>
    <xf numFmtId="4" fontId="2" fillId="0" borderId="72" xfId="0" applyNumberFormat="1" applyFont="1" applyBorder="1"/>
    <xf numFmtId="4" fontId="39" fillId="0" borderId="72" xfId="0" applyNumberFormat="1" applyFont="1" applyBorder="1"/>
    <xf numFmtId="164" fontId="2" fillId="0" borderId="72" xfId="0" applyNumberFormat="1" applyFont="1" applyBorder="1"/>
    <xf numFmtId="0" fontId="6" fillId="12" borderId="6" xfId="0" applyFont="1" applyFill="1" applyBorder="1" applyAlignment="1">
      <alignment horizontal="center"/>
    </xf>
    <xf numFmtId="0" fontId="12" fillId="12" borderId="16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3" fillId="0" borderId="9" xfId="0" applyNumberFormat="1" applyFont="1" applyBorder="1"/>
    <xf numFmtId="3" fontId="2" fillId="2" borderId="6" xfId="0" applyNumberFormat="1" applyFont="1" applyFill="1" applyBorder="1"/>
    <xf numFmtId="0" fontId="17" fillId="10" borderId="0" xfId="0" applyFont="1" applyFill="1" applyAlignment="1">
      <alignment vertical="center" wrapText="1"/>
    </xf>
    <xf numFmtId="165" fontId="21" fillId="0" borderId="3" xfId="0" applyNumberFormat="1" applyFont="1" applyBorder="1" applyAlignment="1">
      <alignment horizontal="right" vertical="center"/>
    </xf>
    <xf numFmtId="165" fontId="21" fillId="0" borderId="65" xfId="0" applyNumberFormat="1" applyFont="1" applyBorder="1" applyAlignment="1">
      <alignment horizontal="right" vertical="center"/>
    </xf>
    <xf numFmtId="0" fontId="0" fillId="0" borderId="49" xfId="0" applyBorder="1" applyAlignment="1">
      <alignment vertical="center"/>
    </xf>
    <xf numFmtId="0" fontId="9" fillId="0" borderId="49" xfId="0" applyFont="1" applyBorder="1"/>
    <xf numFmtId="0" fontId="24" fillId="0" borderId="49" xfId="0" applyFont="1" applyBorder="1"/>
    <xf numFmtId="0" fontId="4" fillId="0" borderId="49" xfId="0" applyFont="1" applyBorder="1"/>
    <xf numFmtId="4" fontId="33" fillId="0" borderId="1" xfId="0" applyNumberFormat="1" applyFont="1" applyBorder="1" applyAlignment="1">
      <alignment vertical="center"/>
    </xf>
    <xf numFmtId="4" fontId="33" fillId="0" borderId="48" xfId="0" applyNumberFormat="1" applyFont="1" applyBorder="1" applyAlignment="1">
      <alignment vertical="center"/>
    </xf>
    <xf numFmtId="165" fontId="31" fillId="11" borderId="28" xfId="0" applyNumberFormat="1" applyFont="1" applyFill="1" applyBorder="1" applyAlignment="1">
      <alignment horizontal="right" vertical="center"/>
    </xf>
    <xf numFmtId="165" fontId="31" fillId="11" borderId="44" xfId="0" applyNumberFormat="1" applyFont="1" applyFill="1" applyBorder="1" applyAlignment="1">
      <alignment horizontal="right" vertical="center"/>
    </xf>
    <xf numFmtId="0" fontId="21" fillId="0" borderId="59" xfId="0" applyFont="1" applyBorder="1" applyAlignment="1">
      <alignment horizontal="center" vertical="center"/>
    </xf>
    <xf numFmtId="0" fontId="28" fillId="12" borderId="32" xfId="0" applyFont="1" applyFill="1" applyBorder="1" applyAlignment="1">
      <alignment horizontal="center" vertical="center" wrapText="1"/>
    </xf>
    <xf numFmtId="0" fontId="7" fillId="12" borderId="59" xfId="0" applyFont="1" applyFill="1" applyBorder="1" applyAlignment="1">
      <alignment horizontal="center"/>
    </xf>
    <xf numFmtId="164" fontId="7" fillId="0" borderId="24" xfId="0" applyNumberFormat="1" applyFont="1" applyBorder="1"/>
    <xf numFmtId="4" fontId="7" fillId="0" borderId="23" xfId="0" applyNumberFormat="1" applyFont="1" applyBorder="1"/>
    <xf numFmtId="165" fontId="7" fillId="2" borderId="44" xfId="0" applyNumberFormat="1" applyFont="1" applyFill="1" applyBorder="1"/>
    <xf numFmtId="165" fontId="7" fillId="4" borderId="52" xfId="0" applyNumberFormat="1" applyFont="1" applyFill="1" applyBorder="1"/>
    <xf numFmtId="165" fontId="7" fillId="0" borderId="52" xfId="0" applyNumberFormat="1" applyFont="1" applyBorder="1"/>
    <xf numFmtId="165" fontId="7" fillId="2" borderId="24" xfId="0" applyNumberFormat="1" applyFont="1" applyFill="1" applyBorder="1"/>
    <xf numFmtId="49" fontId="7" fillId="4" borderId="1" xfId="0" applyNumberFormat="1" applyFont="1" applyFill="1" applyBorder="1" applyAlignment="1">
      <alignment vertical="center"/>
    </xf>
    <xf numFmtId="0" fontId="11" fillId="4" borderId="4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4" fontId="39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64" fontId="7" fillId="14" borderId="21" xfId="0" applyNumberFormat="1" applyFont="1" applyFill="1" applyBorder="1"/>
    <xf numFmtId="165" fontId="7" fillId="14" borderId="52" xfId="0" applyNumberFormat="1" applyFont="1" applyFill="1" applyBorder="1"/>
    <xf numFmtId="164" fontId="7" fillId="2" borderId="28" xfId="0" applyNumberFormat="1" applyFont="1" applyFill="1" applyBorder="1"/>
    <xf numFmtId="164" fontId="7" fillId="2" borderId="31" xfId="0" applyNumberFormat="1" applyFont="1" applyFill="1" applyBorder="1"/>
    <xf numFmtId="4" fontId="9" fillId="15" borderId="3" xfId="0" applyNumberFormat="1" applyFont="1" applyFill="1" applyBorder="1"/>
    <xf numFmtId="0" fontId="21" fillId="0" borderId="48" xfId="0" applyFont="1" applyBorder="1"/>
    <xf numFmtId="4" fontId="17" fillId="10" borderId="31" xfId="0" applyNumberFormat="1" applyFont="1" applyFill="1" applyBorder="1" applyAlignment="1">
      <alignment vertical="center"/>
    </xf>
    <xf numFmtId="4" fontId="34" fillId="10" borderId="31" xfId="0" applyNumberFormat="1" applyFont="1" applyFill="1" applyBorder="1" applyAlignment="1">
      <alignment vertical="center"/>
    </xf>
    <xf numFmtId="165" fontId="18" fillId="10" borderId="31" xfId="0" applyNumberFormat="1" applyFont="1" applyFill="1" applyBorder="1" applyAlignment="1">
      <alignment horizontal="right" vertical="center"/>
    </xf>
    <xf numFmtId="165" fontId="18" fillId="10" borderId="59" xfId="0" applyNumberFormat="1" applyFont="1" applyFill="1" applyBorder="1" applyAlignment="1">
      <alignment horizontal="right" vertical="center"/>
    </xf>
    <xf numFmtId="4" fontId="17" fillId="10" borderId="31" xfId="0" applyNumberFormat="1" applyFont="1" applyFill="1" applyBorder="1" applyAlignment="1">
      <alignment vertical="center" wrapText="1"/>
    </xf>
    <xf numFmtId="4" fontId="34" fillId="10" borderId="31" xfId="0" applyNumberFormat="1" applyFont="1" applyFill="1" applyBorder="1" applyAlignment="1">
      <alignment vertical="center" wrapText="1"/>
    </xf>
    <xf numFmtId="3" fontId="47" fillId="0" borderId="1" xfId="0" applyNumberFormat="1" applyFont="1" applyBorder="1"/>
    <xf numFmtId="165" fontId="21" fillId="0" borderId="38" xfId="0" applyNumberFormat="1" applyFont="1" applyBorder="1" applyAlignment="1">
      <alignment horizontal="right"/>
    </xf>
    <xf numFmtId="4" fontId="21" fillId="0" borderId="35" xfId="0" applyNumberFormat="1" applyFont="1" applyBorder="1"/>
    <xf numFmtId="0" fontId="21" fillId="0" borderId="0" xfId="0" applyFont="1" applyAlignment="1">
      <alignment wrapText="1"/>
    </xf>
    <xf numFmtId="0" fontId="21" fillId="0" borderId="35" xfId="0" applyFont="1" applyBorder="1" applyAlignment="1">
      <alignment horizontal="left"/>
    </xf>
    <xf numFmtId="4" fontId="24" fillId="0" borderId="39" xfId="0" applyNumberFormat="1" applyFont="1" applyBorder="1"/>
    <xf numFmtId="4" fontId="21" fillId="15" borderId="1" xfId="0" applyNumberFormat="1" applyFont="1" applyFill="1" applyBorder="1"/>
    <xf numFmtId="0" fontId="9" fillId="15" borderId="3" xfId="0" applyFont="1" applyFill="1" applyBorder="1" applyAlignment="1">
      <alignment wrapText="1"/>
    </xf>
    <xf numFmtId="4" fontId="21" fillId="15" borderId="39" xfId="0" applyNumberFormat="1" applyFont="1" applyFill="1" applyBorder="1"/>
    <xf numFmtId="4" fontId="21" fillId="15" borderId="39" xfId="0" applyNumberFormat="1" applyFont="1" applyFill="1" applyBorder="1" applyAlignment="1">
      <alignment vertical="center"/>
    </xf>
    <xf numFmtId="4" fontId="9" fillId="15" borderId="39" xfId="0" applyNumberFormat="1" applyFont="1" applyFill="1" applyBorder="1" applyAlignment="1">
      <alignment vertical="center"/>
    </xf>
    <xf numFmtId="4" fontId="9" fillId="15" borderId="3" xfId="0" applyNumberFormat="1" applyFont="1" applyFill="1" applyBorder="1" applyAlignment="1">
      <alignment vertical="center"/>
    </xf>
    <xf numFmtId="0" fontId="21" fillId="15" borderId="1" xfId="0" applyFont="1" applyFill="1" applyBorder="1" applyAlignment="1">
      <alignment wrapText="1"/>
    </xf>
    <xf numFmtId="4" fontId="33" fillId="15" borderId="1" xfId="0" applyNumberFormat="1" applyFont="1" applyFill="1" applyBorder="1"/>
    <xf numFmtId="165" fontId="21" fillId="15" borderId="1" xfId="0" applyNumberFormat="1" applyFont="1" applyFill="1" applyBorder="1" applyAlignment="1">
      <alignment horizontal="right"/>
    </xf>
    <xf numFmtId="0" fontId="21" fillId="15" borderId="1" xfId="0" applyFont="1" applyFill="1" applyBorder="1"/>
    <xf numFmtId="4" fontId="9" fillId="15" borderId="1" xfId="0" applyNumberFormat="1" applyFont="1" applyFill="1" applyBorder="1"/>
    <xf numFmtId="0" fontId="24" fillId="15" borderId="1" xfId="0" applyFont="1" applyFill="1" applyBorder="1"/>
    <xf numFmtId="0" fontId="24" fillId="15" borderId="1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/>
    </xf>
    <xf numFmtId="0" fontId="24" fillId="15" borderId="1" xfId="0" applyFont="1" applyFill="1" applyBorder="1" applyAlignment="1">
      <alignment wrapText="1"/>
    </xf>
    <xf numFmtId="4" fontId="24" fillId="15" borderId="1" xfId="0" applyNumberFormat="1" applyFont="1" applyFill="1" applyBorder="1"/>
    <xf numFmtId="4" fontId="37" fillId="15" borderId="1" xfId="0" applyNumberFormat="1" applyFont="1" applyFill="1" applyBorder="1"/>
    <xf numFmtId="0" fontId="21" fillId="15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left"/>
    </xf>
    <xf numFmtId="0" fontId="21" fillId="15" borderId="19" xfId="0" applyFont="1" applyFill="1" applyBorder="1"/>
    <xf numFmtId="0" fontId="21" fillId="15" borderId="19" xfId="0" applyFont="1" applyFill="1" applyBorder="1" applyAlignment="1">
      <alignment horizontal="center" vertical="center"/>
    </xf>
    <xf numFmtId="0" fontId="21" fillId="15" borderId="19" xfId="0" applyFont="1" applyFill="1" applyBorder="1" applyAlignment="1">
      <alignment horizontal="left"/>
    </xf>
    <xf numFmtId="0" fontId="21" fillId="15" borderId="19" xfId="0" applyFont="1" applyFill="1" applyBorder="1" applyAlignment="1">
      <alignment wrapText="1"/>
    </xf>
    <xf numFmtId="4" fontId="21" fillId="15" borderId="19" xfId="0" applyNumberFormat="1" applyFont="1" applyFill="1" applyBorder="1"/>
    <xf numFmtId="4" fontId="33" fillId="15" borderId="19" xfId="0" applyNumberFormat="1" applyFont="1" applyFill="1" applyBorder="1"/>
    <xf numFmtId="165" fontId="21" fillId="15" borderId="19" xfId="0" applyNumberFormat="1" applyFont="1" applyFill="1" applyBorder="1" applyAlignment="1">
      <alignment horizontal="right"/>
    </xf>
    <xf numFmtId="0" fontId="21" fillId="15" borderId="48" xfId="0" applyFont="1" applyFill="1" applyBorder="1" applyAlignment="1">
      <alignment horizontal="center" vertical="center"/>
    </xf>
    <xf numFmtId="0" fontId="21" fillId="15" borderId="48" xfId="0" applyFont="1" applyFill="1" applyBorder="1" applyAlignment="1">
      <alignment horizontal="left"/>
    </xf>
    <xf numFmtId="0" fontId="21" fillId="15" borderId="48" xfId="0" applyFont="1" applyFill="1" applyBorder="1" applyAlignment="1">
      <alignment wrapText="1"/>
    </xf>
    <xf numFmtId="4" fontId="21" fillId="15" borderId="48" xfId="0" applyNumberFormat="1" applyFont="1" applyFill="1" applyBorder="1"/>
    <xf numFmtId="4" fontId="33" fillId="15" borderId="48" xfId="0" applyNumberFormat="1" applyFont="1" applyFill="1" applyBorder="1"/>
    <xf numFmtId="165" fontId="21" fillId="15" borderId="48" xfId="0" applyNumberFormat="1" applyFont="1" applyFill="1" applyBorder="1" applyAlignment="1">
      <alignment horizontal="right"/>
    </xf>
    <xf numFmtId="0" fontId="21" fillId="15" borderId="39" xfId="0" applyFont="1" applyFill="1" applyBorder="1" applyAlignment="1">
      <alignment wrapText="1"/>
    </xf>
    <xf numFmtId="4" fontId="33" fillId="15" borderId="39" xfId="0" applyNumberFormat="1" applyFont="1" applyFill="1" applyBorder="1"/>
    <xf numFmtId="165" fontId="21" fillId="15" borderId="39" xfId="0" applyNumberFormat="1" applyFont="1" applyFill="1" applyBorder="1" applyAlignment="1">
      <alignment horizontal="right"/>
    </xf>
    <xf numFmtId="165" fontId="21" fillId="15" borderId="56" xfId="0" applyNumberFormat="1" applyFont="1" applyFill="1" applyBorder="1" applyAlignment="1">
      <alignment horizontal="right"/>
    </xf>
    <xf numFmtId="0" fontId="21" fillId="15" borderId="53" xfId="0" applyFont="1" applyFill="1" applyBorder="1"/>
    <xf numFmtId="165" fontId="21" fillId="15" borderId="54" xfId="0" applyNumberFormat="1" applyFont="1" applyFill="1" applyBorder="1" applyAlignment="1">
      <alignment horizontal="right"/>
    </xf>
    <xf numFmtId="0" fontId="24" fillId="15" borderId="20" xfId="0" applyFont="1" applyFill="1" applyBorder="1" applyAlignment="1">
      <alignment horizontal="left"/>
    </xf>
    <xf numFmtId="0" fontId="24" fillId="15" borderId="1" xfId="0" applyFont="1" applyFill="1" applyBorder="1" applyAlignment="1">
      <alignment horizontal="left" vertical="center"/>
    </xf>
    <xf numFmtId="165" fontId="21" fillId="15" borderId="3" xfId="0" applyNumberFormat="1" applyFont="1" applyFill="1" applyBorder="1" applyAlignment="1">
      <alignment horizontal="right"/>
    </xf>
    <xf numFmtId="165" fontId="21" fillId="15" borderId="52" xfId="0" applyNumberFormat="1" applyFont="1" applyFill="1" applyBorder="1" applyAlignment="1">
      <alignment horizontal="right"/>
    </xf>
    <xf numFmtId="0" fontId="21" fillId="15" borderId="20" xfId="0" applyFont="1" applyFill="1" applyBorder="1" applyAlignment="1">
      <alignment horizontal="left"/>
    </xf>
    <xf numFmtId="0" fontId="4" fillId="15" borderId="51" xfId="0" applyFont="1" applyFill="1" applyBorder="1"/>
    <xf numFmtId="0" fontId="4" fillId="15" borderId="0" xfId="0" applyFont="1" applyFill="1" applyAlignment="1">
      <alignment horizontal="center"/>
    </xf>
    <xf numFmtId="0" fontId="4" fillId="15" borderId="0" xfId="0" applyFont="1" applyFill="1"/>
    <xf numFmtId="4" fontId="21" fillId="15" borderId="3" xfId="0" applyNumberFormat="1" applyFont="1" applyFill="1" applyBorder="1"/>
    <xf numFmtId="0" fontId="9" fillId="15" borderId="51" xfId="0" applyFont="1" applyFill="1" applyBorder="1"/>
    <xf numFmtId="0" fontId="9" fillId="15" borderId="0" xfId="0" applyFont="1" applyFill="1" applyAlignment="1">
      <alignment horizontal="center"/>
    </xf>
    <xf numFmtId="0" fontId="9" fillId="15" borderId="0" xfId="0" applyFont="1" applyFill="1"/>
    <xf numFmtId="0" fontId="9" fillId="15" borderId="3" xfId="0" applyFont="1" applyFill="1" applyBorder="1" applyAlignment="1">
      <alignment vertical="distributed" wrapText="1"/>
    </xf>
    <xf numFmtId="4" fontId="36" fillId="15" borderId="3" xfId="0" applyNumberFormat="1" applyFont="1" applyFill="1" applyBorder="1"/>
    <xf numFmtId="4" fontId="15" fillId="15" borderId="3" xfId="0" applyNumberFormat="1" applyFont="1" applyFill="1" applyBorder="1" applyAlignment="1">
      <alignment horizontal="right"/>
    </xf>
    <xf numFmtId="4" fontId="15" fillId="15" borderId="52" xfId="0" applyNumberFormat="1" applyFont="1" applyFill="1" applyBorder="1" applyAlignment="1">
      <alignment horizontal="right"/>
    </xf>
    <xf numFmtId="0" fontId="24" fillId="15" borderId="1" xfId="0" applyFont="1" applyFill="1" applyBorder="1" applyAlignment="1">
      <alignment horizontal="center"/>
    </xf>
    <xf numFmtId="165" fontId="21" fillId="15" borderId="23" xfId="0" applyNumberFormat="1" applyFont="1" applyFill="1" applyBorder="1" applyAlignment="1">
      <alignment horizontal="right"/>
    </xf>
    <xf numFmtId="0" fontId="21" fillId="15" borderId="1" xfId="0" applyFont="1" applyFill="1" applyBorder="1" applyAlignment="1">
      <alignment horizontal="center"/>
    </xf>
    <xf numFmtId="0" fontId="21" fillId="15" borderId="53" xfId="0" applyFont="1" applyFill="1" applyBorder="1" applyAlignment="1">
      <alignment horizontal="left"/>
    </xf>
    <xf numFmtId="0" fontId="21" fillId="15" borderId="48" xfId="0" applyFont="1" applyFill="1" applyBorder="1" applyAlignment="1">
      <alignment horizontal="left" vertical="center" wrapText="1"/>
    </xf>
    <xf numFmtId="0" fontId="21" fillId="15" borderId="39" xfId="0" applyFont="1" applyFill="1" applyBorder="1"/>
    <xf numFmtId="0" fontId="9" fillId="15" borderId="3" xfId="0" applyFont="1" applyFill="1" applyBorder="1" applyAlignment="1">
      <alignment horizontal="left"/>
    </xf>
    <xf numFmtId="165" fontId="21" fillId="15" borderId="65" xfId="0" applyNumberFormat="1" applyFont="1" applyFill="1" applyBorder="1" applyAlignment="1">
      <alignment horizontal="right"/>
    </xf>
    <xf numFmtId="165" fontId="21" fillId="15" borderId="66" xfId="0" applyNumberFormat="1" applyFont="1" applyFill="1" applyBorder="1" applyAlignment="1">
      <alignment horizontal="right"/>
    </xf>
    <xf numFmtId="0" fontId="21" fillId="15" borderId="1" xfId="0" applyFont="1" applyFill="1" applyBorder="1" applyAlignment="1">
      <alignment horizontal="left" vertical="center"/>
    </xf>
    <xf numFmtId="165" fontId="21" fillId="15" borderId="55" xfId="0" applyNumberFormat="1" applyFont="1" applyFill="1" applyBorder="1" applyAlignment="1">
      <alignment horizontal="right"/>
    </xf>
    <xf numFmtId="0" fontId="9" fillId="15" borderId="0" xfId="0" applyFont="1" applyFill="1" applyAlignment="1">
      <alignment horizontal="center" vertical="center"/>
    </xf>
    <xf numFmtId="4" fontId="9" fillId="15" borderId="39" xfId="0" applyNumberFormat="1" applyFont="1" applyFill="1" applyBorder="1"/>
    <xf numFmtId="4" fontId="36" fillId="15" borderId="39" xfId="0" applyNumberFormat="1" applyFont="1" applyFill="1" applyBorder="1"/>
    <xf numFmtId="165" fontId="15" fillId="15" borderId="39" xfId="0" applyNumberFormat="1" applyFont="1" applyFill="1" applyBorder="1" applyAlignment="1">
      <alignment horizontal="right"/>
    </xf>
    <xf numFmtId="165" fontId="15" fillId="15" borderId="56" xfId="0" applyNumberFormat="1" applyFont="1" applyFill="1" applyBorder="1" applyAlignment="1">
      <alignment horizontal="right"/>
    </xf>
    <xf numFmtId="0" fontId="4" fillId="15" borderId="0" xfId="0" applyFont="1" applyFill="1" applyAlignment="1">
      <alignment horizontal="center" vertical="center"/>
    </xf>
    <xf numFmtId="0" fontId="24" fillId="15" borderId="20" xfId="0" applyFont="1" applyFill="1" applyBorder="1"/>
    <xf numFmtId="0" fontId="21" fillId="15" borderId="20" xfId="0" applyFont="1" applyFill="1" applyBorder="1"/>
    <xf numFmtId="0" fontId="21" fillId="15" borderId="48" xfId="0" applyFont="1" applyFill="1" applyBorder="1"/>
    <xf numFmtId="0" fontId="21" fillId="15" borderId="64" xfId="0" applyFont="1" applyFill="1" applyBorder="1"/>
    <xf numFmtId="0" fontId="21" fillId="15" borderId="65" xfId="0" applyFont="1" applyFill="1" applyBorder="1" applyAlignment="1">
      <alignment horizontal="center" vertical="center"/>
    </xf>
    <xf numFmtId="0" fontId="21" fillId="15" borderId="20" xfId="0" applyFont="1" applyFill="1" applyBorder="1" applyAlignment="1">
      <alignment vertical="center"/>
    </xf>
    <xf numFmtId="0" fontId="21" fillId="15" borderId="19" xfId="0" applyFont="1" applyFill="1" applyBorder="1" applyAlignment="1">
      <alignment horizontal="left" vertical="center"/>
    </xf>
    <xf numFmtId="0" fontId="21" fillId="15" borderId="19" xfId="0" applyFont="1" applyFill="1" applyBorder="1" applyAlignment="1">
      <alignment vertical="center" wrapText="1"/>
    </xf>
    <xf numFmtId="4" fontId="21" fillId="15" borderId="19" xfId="0" applyNumberFormat="1" applyFont="1" applyFill="1" applyBorder="1" applyAlignment="1">
      <alignment vertical="center"/>
    </xf>
    <xf numFmtId="4" fontId="21" fillId="15" borderId="1" xfId="0" applyNumberFormat="1" applyFont="1" applyFill="1" applyBorder="1" applyAlignment="1">
      <alignment vertical="center"/>
    </xf>
    <xf numFmtId="4" fontId="33" fillId="15" borderId="1" xfId="0" applyNumberFormat="1" applyFont="1" applyFill="1" applyBorder="1" applyAlignment="1">
      <alignment vertical="center"/>
    </xf>
    <xf numFmtId="165" fontId="21" fillId="15" borderId="3" xfId="0" applyNumberFormat="1" applyFont="1" applyFill="1" applyBorder="1" applyAlignment="1">
      <alignment horizontal="right" vertical="center"/>
    </xf>
    <xf numFmtId="165" fontId="21" fillId="15" borderId="52" xfId="0" applyNumberFormat="1" applyFont="1" applyFill="1" applyBorder="1" applyAlignment="1">
      <alignment horizontal="right" vertical="center"/>
    </xf>
    <xf numFmtId="0" fontId="21" fillId="15" borderId="53" xfId="0" applyFont="1" applyFill="1" applyBorder="1" applyAlignment="1">
      <alignment vertical="center"/>
    </xf>
    <xf numFmtId="0" fontId="21" fillId="15" borderId="48" xfId="0" applyFont="1" applyFill="1" applyBorder="1" applyAlignment="1">
      <alignment horizontal="left" vertical="center"/>
    </xf>
    <xf numFmtId="0" fontId="21" fillId="15" borderId="48" xfId="0" applyFont="1" applyFill="1" applyBorder="1" applyAlignment="1">
      <alignment vertical="center" wrapText="1"/>
    </xf>
    <xf numFmtId="4" fontId="21" fillId="15" borderId="48" xfId="0" applyNumberFormat="1" applyFont="1" applyFill="1" applyBorder="1" applyAlignment="1">
      <alignment vertical="center"/>
    </xf>
    <xf numFmtId="4" fontId="33" fillId="15" borderId="48" xfId="0" applyNumberFormat="1" applyFont="1" applyFill="1" applyBorder="1" applyAlignment="1">
      <alignment vertical="center"/>
    </xf>
    <xf numFmtId="165" fontId="21" fillId="15" borderId="65" xfId="0" applyNumberFormat="1" applyFont="1" applyFill="1" applyBorder="1" applyAlignment="1">
      <alignment horizontal="right" vertical="center"/>
    </xf>
    <xf numFmtId="165" fontId="21" fillId="15" borderId="66" xfId="0" applyNumberFormat="1" applyFont="1" applyFill="1" applyBorder="1" applyAlignment="1">
      <alignment horizontal="right" vertical="center"/>
    </xf>
    <xf numFmtId="0" fontId="21" fillId="15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0" fontId="21" fillId="15" borderId="0" xfId="0" applyFont="1" applyFill="1" applyAlignment="1">
      <alignment horizontal="left" vertical="center"/>
    </xf>
    <xf numFmtId="0" fontId="21" fillId="15" borderId="58" xfId="0" applyFont="1" applyFill="1" applyBorder="1" applyAlignment="1">
      <alignment vertical="center" wrapText="1"/>
    </xf>
    <xf numFmtId="4" fontId="33" fillId="15" borderId="39" xfId="0" applyNumberFormat="1" applyFont="1" applyFill="1" applyBorder="1" applyAlignment="1">
      <alignment vertical="center"/>
    </xf>
    <xf numFmtId="4" fontId="21" fillId="15" borderId="38" xfId="0" applyNumberFormat="1" applyFont="1" applyFill="1" applyBorder="1"/>
    <xf numFmtId="0" fontId="21" fillId="15" borderId="35" xfId="0" applyFont="1" applyFill="1" applyBorder="1" applyAlignment="1">
      <alignment horizontal="left" vertical="center"/>
    </xf>
    <xf numFmtId="0" fontId="21" fillId="15" borderId="35" xfId="0" applyFont="1" applyFill="1" applyBorder="1" applyAlignment="1">
      <alignment vertical="center" wrapText="1"/>
    </xf>
    <xf numFmtId="0" fontId="24" fillId="15" borderId="3" xfId="0" applyFont="1" applyFill="1" applyBorder="1" applyAlignment="1">
      <alignment vertical="center" wrapText="1"/>
    </xf>
    <xf numFmtId="0" fontId="21" fillId="15" borderId="1" xfId="0" applyFont="1" applyFill="1" applyBorder="1" applyAlignment="1">
      <alignment vertical="center"/>
    </xf>
    <xf numFmtId="0" fontId="21" fillId="15" borderId="1" xfId="0" applyFont="1" applyFill="1" applyBorder="1" applyAlignment="1">
      <alignment vertical="center" wrapText="1"/>
    </xf>
    <xf numFmtId="0" fontId="21" fillId="15" borderId="48" xfId="0" applyFont="1" applyFill="1" applyBorder="1" applyAlignment="1">
      <alignment vertical="center"/>
    </xf>
    <xf numFmtId="164" fontId="7" fillId="0" borderId="37" xfId="0" applyNumberFormat="1" applyFont="1" applyBorder="1"/>
    <xf numFmtId="165" fontId="7" fillId="0" borderId="55" xfId="0" applyNumberFormat="1" applyFont="1" applyBorder="1"/>
    <xf numFmtId="0" fontId="0" fillId="15" borderId="0" xfId="0" applyFill="1"/>
    <xf numFmtId="4" fontId="21" fillId="15" borderId="17" xfId="0" applyNumberFormat="1" applyFont="1" applyFill="1" applyBorder="1"/>
    <xf numFmtId="4" fontId="21" fillId="15" borderId="4" xfId="0" applyNumberFormat="1" applyFont="1" applyFill="1" applyBorder="1"/>
    <xf numFmtId="0" fontId="9" fillId="15" borderId="62" xfId="0" applyFont="1" applyFill="1" applyBorder="1"/>
    <xf numFmtId="0" fontId="9" fillId="15" borderId="36" xfId="0" applyFont="1" applyFill="1" applyBorder="1"/>
    <xf numFmtId="0" fontId="9" fillId="15" borderId="3" xfId="0" applyFont="1" applyFill="1" applyBorder="1"/>
    <xf numFmtId="4" fontId="9" fillId="15" borderId="4" xfId="0" applyNumberFormat="1" applyFont="1" applyFill="1" applyBorder="1"/>
    <xf numFmtId="0" fontId="24" fillId="15" borderId="3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left"/>
    </xf>
    <xf numFmtId="0" fontId="24" fillId="15" borderId="3" xfId="0" applyFont="1" applyFill="1" applyBorder="1" applyAlignment="1">
      <alignment wrapText="1"/>
    </xf>
    <xf numFmtId="4" fontId="24" fillId="15" borderId="3" xfId="0" applyNumberFormat="1" applyFont="1" applyFill="1" applyBorder="1"/>
    <xf numFmtId="4" fontId="37" fillId="15" borderId="3" xfId="0" applyNumberFormat="1" applyFont="1" applyFill="1" applyBorder="1"/>
    <xf numFmtId="0" fontId="21" fillId="15" borderId="47" xfId="0" applyFont="1" applyFill="1" applyBorder="1"/>
    <xf numFmtId="0" fontId="9" fillId="15" borderId="36" xfId="0" applyFont="1" applyFill="1" applyBorder="1" applyAlignment="1">
      <alignment horizontal="center" vertical="center"/>
    </xf>
    <xf numFmtId="4" fontId="21" fillId="15" borderId="0" xfId="0" applyNumberFormat="1" applyFont="1" applyFill="1"/>
    <xf numFmtId="0" fontId="21" fillId="15" borderId="3" xfId="0" applyFont="1" applyFill="1" applyBorder="1" applyAlignment="1">
      <alignment wrapText="1"/>
    </xf>
    <xf numFmtId="0" fontId="0" fillId="0" borderId="1" xfId="0" applyBorder="1"/>
    <xf numFmtId="0" fontId="38" fillId="0" borderId="1" xfId="0" applyFont="1" applyBorder="1"/>
    <xf numFmtId="165" fontId="21" fillId="0" borderId="58" xfId="0" applyNumberFormat="1" applyFont="1" applyBorder="1" applyAlignment="1">
      <alignment horizontal="right"/>
    </xf>
    <xf numFmtId="4" fontId="17" fillId="10" borderId="75" xfId="0" applyNumberFormat="1" applyFont="1" applyFill="1" applyBorder="1"/>
    <xf numFmtId="4" fontId="17" fillId="10" borderId="75" xfId="0" applyNumberFormat="1" applyFont="1" applyFill="1" applyBorder="1" applyAlignment="1">
      <alignment vertical="center"/>
    </xf>
    <xf numFmtId="4" fontId="34" fillId="10" borderId="75" xfId="0" applyNumberFormat="1" applyFont="1" applyFill="1" applyBorder="1" applyAlignment="1">
      <alignment vertical="center"/>
    </xf>
    <xf numFmtId="165" fontId="18" fillId="10" borderId="75" xfId="0" applyNumberFormat="1" applyFont="1" applyFill="1" applyBorder="1" applyAlignment="1">
      <alignment horizontal="right" vertical="center"/>
    </xf>
    <xf numFmtId="165" fontId="18" fillId="10" borderId="76" xfId="0" applyNumberFormat="1" applyFont="1" applyFill="1" applyBorder="1" applyAlignment="1">
      <alignment horizontal="right" vertical="center"/>
    </xf>
    <xf numFmtId="0" fontId="4" fillId="0" borderId="51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" fontId="21" fillId="0" borderId="1" xfId="0" applyNumberFormat="1" applyFont="1" applyBorder="1" applyAlignment="1">
      <alignment wrapText="1"/>
    </xf>
    <xf numFmtId="4" fontId="21" fillId="0" borderId="39" xfId="0" applyNumberFormat="1" applyFont="1" applyBorder="1" applyAlignment="1">
      <alignment wrapText="1"/>
    </xf>
    <xf numFmtId="4" fontId="33" fillId="0" borderId="39" xfId="0" applyNumberFormat="1" applyFont="1" applyBorder="1" applyAlignment="1">
      <alignment wrapText="1"/>
    </xf>
    <xf numFmtId="4" fontId="21" fillId="13" borderId="1" xfId="0" applyNumberFormat="1" applyFont="1" applyFill="1" applyBorder="1"/>
    <xf numFmtId="0" fontId="13" fillId="0" borderId="3" xfId="0" applyFont="1" applyBorder="1" applyAlignment="1">
      <alignment vertical="center" wrapText="1"/>
    </xf>
    <xf numFmtId="0" fontId="24" fillId="15" borderId="39" xfId="0" applyFont="1" applyFill="1" applyBorder="1" applyAlignment="1">
      <alignment wrapText="1"/>
    </xf>
    <xf numFmtId="0" fontId="4" fillId="15" borderId="18" xfId="0" applyFont="1" applyFill="1" applyBorder="1"/>
    <xf numFmtId="0" fontId="4" fillId="15" borderId="35" xfId="0" applyFont="1" applyFill="1" applyBorder="1"/>
    <xf numFmtId="0" fontId="4" fillId="15" borderId="17" xfId="0" applyFont="1" applyFill="1" applyBorder="1"/>
    <xf numFmtId="0" fontId="4" fillId="15" borderId="19" xfId="0" applyFont="1" applyFill="1" applyBorder="1"/>
    <xf numFmtId="0" fontId="4" fillId="15" borderId="39" xfId="0" applyFont="1" applyFill="1" applyBorder="1"/>
    <xf numFmtId="0" fontId="4" fillId="15" borderId="3" xfId="0" applyFont="1" applyFill="1" applyBorder="1"/>
    <xf numFmtId="0" fontId="4" fillId="0" borderId="77" xfId="0" applyFont="1" applyBorder="1"/>
    <xf numFmtId="0" fontId="4" fillId="0" borderId="78" xfId="0" applyFont="1" applyBorder="1" applyAlignment="1">
      <alignment horizontal="center" vertical="center"/>
    </xf>
    <xf numFmtId="0" fontId="4" fillId="0" borderId="78" xfId="0" applyFont="1" applyBorder="1"/>
    <xf numFmtId="0" fontId="21" fillId="0" borderId="58" xfId="0" applyFont="1" applyBorder="1"/>
    <xf numFmtId="4" fontId="21" fillId="0" borderId="79" xfId="0" applyNumberFormat="1" applyFont="1" applyBorder="1"/>
    <xf numFmtId="4" fontId="21" fillId="0" borderId="58" xfId="0" applyNumberFormat="1" applyFont="1" applyBorder="1"/>
    <xf numFmtId="4" fontId="33" fillId="0" borderId="58" xfId="0" applyNumberFormat="1" applyFont="1" applyBorder="1"/>
    <xf numFmtId="0" fontId="9" fillId="0" borderId="36" xfId="0" applyFont="1" applyBorder="1" applyAlignment="1">
      <alignment horizontal="center" vertical="center"/>
    </xf>
    <xf numFmtId="49" fontId="21" fillId="0" borderId="45" xfId="0" applyNumberFormat="1" applyFont="1" applyBorder="1"/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/>
    </xf>
    <xf numFmtId="0" fontId="21" fillId="0" borderId="3" xfId="0" applyFont="1" applyBorder="1" applyAlignment="1">
      <alignment wrapText="1"/>
    </xf>
    <xf numFmtId="4" fontId="33" fillId="0" borderId="3" xfId="0" applyNumberFormat="1" applyFont="1" applyBorder="1"/>
    <xf numFmtId="165" fontId="24" fillId="0" borderId="1" xfId="0" applyNumberFormat="1" applyFont="1" applyBorder="1" applyAlignment="1">
      <alignment horizontal="right"/>
    </xf>
    <xf numFmtId="165" fontId="24" fillId="0" borderId="23" xfId="0" applyNumberFormat="1" applyFont="1" applyBorder="1" applyAlignment="1">
      <alignment horizontal="right"/>
    </xf>
    <xf numFmtId="0" fontId="48" fillId="0" borderId="4" xfId="0" applyFont="1" applyBorder="1" applyAlignment="1">
      <alignment horizontal="left"/>
    </xf>
    <xf numFmtId="0" fontId="47" fillId="0" borderId="4" xfId="0" applyFont="1" applyBorder="1" applyAlignment="1">
      <alignment horizontal="left"/>
    </xf>
    <xf numFmtId="0" fontId="21" fillId="0" borderId="64" xfId="0" applyFont="1" applyBorder="1"/>
    <xf numFmtId="0" fontId="49" fillId="0" borderId="39" xfId="0" applyFont="1" applyBorder="1" applyAlignment="1">
      <alignment wrapText="1"/>
    </xf>
    <xf numFmtId="4" fontId="24" fillId="15" borderId="39" xfId="0" applyNumberFormat="1" applyFont="1" applyFill="1" applyBorder="1"/>
    <xf numFmtId="165" fontId="21" fillId="0" borderId="68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6" borderId="46" xfId="0" applyFont="1" applyFill="1" applyBorder="1" applyAlignment="1">
      <alignment horizontal="left" vertical="center"/>
    </xf>
    <xf numFmtId="0" fontId="15" fillId="6" borderId="13" xfId="0" applyFont="1" applyFill="1" applyBorder="1" applyAlignment="1">
      <alignment horizontal="left" vertical="center"/>
    </xf>
    <xf numFmtId="0" fontId="15" fillId="6" borderId="14" xfId="0" applyFont="1" applyFill="1" applyBorder="1" applyAlignment="1">
      <alignment horizontal="left" vertical="center"/>
    </xf>
    <xf numFmtId="0" fontId="14" fillId="6" borderId="46" xfId="0" applyFont="1" applyFill="1" applyBorder="1" applyAlignment="1">
      <alignment horizontal="left"/>
    </xf>
    <xf numFmtId="0" fontId="14" fillId="6" borderId="13" xfId="0" applyFont="1" applyFill="1" applyBorder="1" applyAlignment="1">
      <alignment horizontal="left"/>
    </xf>
    <xf numFmtId="0" fontId="14" fillId="6" borderId="14" xfId="0" applyFont="1" applyFill="1" applyBorder="1" applyAlignment="1">
      <alignment horizontal="left"/>
    </xf>
    <xf numFmtId="165" fontId="3" fillId="7" borderId="19" xfId="0" applyNumberFormat="1" applyFont="1" applyFill="1" applyBorder="1" applyAlignment="1">
      <alignment horizontal="right" wrapText="1"/>
    </xf>
    <xf numFmtId="165" fontId="3" fillId="7" borderId="39" xfId="0" applyNumberFormat="1" applyFont="1" applyFill="1" applyBorder="1" applyAlignment="1">
      <alignment horizontal="right" wrapText="1"/>
    </xf>
    <xf numFmtId="165" fontId="3" fillId="7" borderId="3" xfId="0" applyNumberFormat="1" applyFont="1" applyFill="1" applyBorder="1" applyAlignment="1">
      <alignment horizontal="right" wrapText="1"/>
    </xf>
    <xf numFmtId="0" fontId="19" fillId="5" borderId="46" xfId="0" applyFont="1" applyFill="1" applyBorder="1" applyAlignment="1">
      <alignment horizontal="left"/>
    </xf>
    <xf numFmtId="0" fontId="19" fillId="5" borderId="13" xfId="0" applyFont="1" applyFill="1" applyBorder="1" applyAlignment="1">
      <alignment horizontal="left"/>
    </xf>
    <xf numFmtId="0" fontId="19" fillId="5" borderId="14" xfId="0" applyFont="1" applyFill="1" applyBorder="1" applyAlignment="1">
      <alignment horizontal="left"/>
    </xf>
    <xf numFmtId="0" fontId="24" fillId="7" borderId="39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6" borderId="46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 wrapText="1"/>
    </xf>
    <xf numFmtId="0" fontId="25" fillId="5" borderId="46" xfId="0" applyFont="1" applyFill="1" applyBorder="1" applyAlignment="1">
      <alignment horizontal="left" vertical="top" wrapText="1"/>
    </xf>
    <xf numFmtId="0" fontId="25" fillId="5" borderId="13" xfId="0" applyFont="1" applyFill="1" applyBorder="1" applyAlignment="1">
      <alignment horizontal="left" vertical="top" wrapText="1"/>
    </xf>
    <xf numFmtId="0" fontId="25" fillId="5" borderId="14" xfId="0" applyFont="1" applyFill="1" applyBorder="1" applyAlignment="1">
      <alignment horizontal="left" vertical="top" wrapText="1"/>
    </xf>
    <xf numFmtId="0" fontId="14" fillId="6" borderId="46" xfId="0" applyFont="1" applyFill="1" applyBorder="1" applyAlignment="1">
      <alignment horizontal="left" wrapText="1"/>
    </xf>
    <xf numFmtId="0" fontId="14" fillId="6" borderId="13" xfId="0" applyFont="1" applyFill="1" applyBorder="1" applyAlignment="1">
      <alignment horizontal="left" wrapText="1"/>
    </xf>
    <xf numFmtId="0" fontId="14" fillId="6" borderId="14" xfId="0" applyFont="1" applyFill="1" applyBorder="1" applyAlignment="1">
      <alignment horizontal="left" wrapText="1"/>
    </xf>
    <xf numFmtId="0" fontId="19" fillId="8" borderId="46" xfId="0" applyFont="1" applyFill="1" applyBorder="1" applyAlignment="1">
      <alignment horizontal="left" vertical="center" wrapText="1"/>
    </xf>
    <xf numFmtId="0" fontId="19" fillId="8" borderId="13" xfId="0" applyFont="1" applyFill="1" applyBorder="1" applyAlignment="1">
      <alignment horizontal="left" vertical="center" wrapText="1"/>
    </xf>
    <xf numFmtId="0" fontId="14" fillId="6" borderId="46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25" fillId="5" borderId="46" xfId="0" applyFont="1" applyFill="1" applyBorder="1" applyAlignment="1">
      <alignment horizontal="left" vertical="center"/>
    </xf>
    <xf numFmtId="0" fontId="25" fillId="5" borderId="13" xfId="0" applyFont="1" applyFill="1" applyBorder="1" applyAlignment="1">
      <alignment horizontal="left" vertical="center"/>
    </xf>
    <xf numFmtId="0" fontId="26" fillId="0" borderId="46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5" fillId="5" borderId="46" xfId="0" applyFont="1" applyFill="1" applyBorder="1" applyAlignment="1">
      <alignment horizontal="left" vertical="center" wrapText="1"/>
    </xf>
    <xf numFmtId="0" fontId="25" fillId="5" borderId="13" xfId="0" applyFont="1" applyFill="1" applyBorder="1" applyAlignment="1">
      <alignment horizontal="left" vertical="center" wrapText="1"/>
    </xf>
    <xf numFmtId="0" fontId="9" fillId="5" borderId="46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19" fillId="5" borderId="46" xfId="0" applyFont="1" applyFill="1" applyBorder="1" applyAlignment="1">
      <alignment horizontal="left" wrapText="1"/>
    </xf>
    <xf numFmtId="0" fontId="19" fillId="5" borderId="13" xfId="0" applyFont="1" applyFill="1" applyBorder="1" applyAlignment="1">
      <alignment horizontal="left" wrapText="1"/>
    </xf>
    <xf numFmtId="0" fontId="19" fillId="5" borderId="14" xfId="0" applyFont="1" applyFill="1" applyBorder="1" applyAlignment="1">
      <alignment horizontal="left" wrapText="1"/>
    </xf>
    <xf numFmtId="0" fontId="15" fillId="6" borderId="46" xfId="0" applyFont="1" applyFill="1" applyBorder="1" applyAlignment="1">
      <alignment horizontal="left" vertical="distributed" wrapText="1"/>
    </xf>
    <xf numFmtId="0" fontId="15" fillId="6" borderId="13" xfId="0" applyFont="1" applyFill="1" applyBorder="1" applyAlignment="1">
      <alignment horizontal="left" vertical="distributed" wrapText="1"/>
    </xf>
    <xf numFmtId="0" fontId="15" fillId="6" borderId="14" xfId="0" applyFont="1" applyFill="1" applyBorder="1" applyAlignment="1">
      <alignment horizontal="left" vertical="distributed" wrapText="1"/>
    </xf>
    <xf numFmtId="0" fontId="25" fillId="5" borderId="46" xfId="0" applyFont="1" applyFill="1" applyBorder="1" applyAlignment="1">
      <alignment horizontal="left"/>
    </xf>
    <xf numFmtId="0" fontId="25" fillId="5" borderId="13" xfId="0" applyFont="1" applyFill="1" applyBorder="1" applyAlignment="1">
      <alignment horizontal="left"/>
    </xf>
    <xf numFmtId="0" fontId="25" fillId="5" borderId="1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6" fillId="0" borderId="0" xfId="0" applyFont="1" applyAlignment="1">
      <alignment horizontal="left" vertical="distributed"/>
    </xf>
    <xf numFmtId="0" fontId="2" fillId="3" borderId="15" xfId="0" applyFont="1" applyFill="1" applyBorder="1" applyAlignment="1">
      <alignment wrapText="1"/>
    </xf>
    <xf numFmtId="0" fontId="2" fillId="3" borderId="16" xfId="0" applyFont="1" applyFill="1" applyBorder="1"/>
    <xf numFmtId="0" fontId="28" fillId="12" borderId="57" xfId="0" applyFont="1" applyFill="1" applyBorder="1" applyAlignment="1">
      <alignment horizontal="center" vertical="center"/>
    </xf>
    <xf numFmtId="0" fontId="28" fillId="12" borderId="67" xfId="0" applyFont="1" applyFill="1" applyBorder="1" applyAlignment="1">
      <alignment horizontal="center" vertical="center"/>
    </xf>
    <xf numFmtId="0" fontId="28" fillId="12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49" fontId="46" fillId="0" borderId="0" xfId="0" applyNumberFormat="1" applyFont="1" applyAlignment="1">
      <alignment horizontal="left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11" fillId="3" borderId="7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69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165" fontId="21" fillId="0" borderId="32" xfId="0" applyNumberFormat="1" applyFont="1" applyBorder="1" applyAlignment="1">
      <alignment horizontal="right"/>
    </xf>
    <xf numFmtId="0" fontId="21" fillId="0" borderId="23" xfId="0" applyFont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165" fontId="21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165" fontId="21" fillId="0" borderId="52" xfId="0" applyNumberFormat="1" applyFont="1" applyBorder="1" applyAlignment="1">
      <alignment horizontal="right"/>
    </xf>
    <xf numFmtId="165" fontId="21" fillId="15" borderId="3" xfId="0" applyNumberFormat="1" applyFont="1" applyFill="1" applyBorder="1" applyAlignment="1">
      <alignment horizontal="right"/>
    </xf>
    <xf numFmtId="165" fontId="21" fillId="15" borderId="1" xfId="0" applyNumberFormat="1" applyFont="1" applyFill="1" applyBorder="1" applyAlignment="1">
      <alignment horizontal="right"/>
    </xf>
    <xf numFmtId="165" fontId="21" fillId="15" borderId="32" xfId="0" applyNumberFormat="1" applyFont="1" applyFill="1" applyBorder="1" applyAlignment="1">
      <alignment horizontal="right"/>
    </xf>
    <xf numFmtId="0" fontId="21" fillId="15" borderId="23" xfId="0" applyFont="1" applyFill="1" applyBorder="1" applyAlignment="1">
      <alignment horizontal="right"/>
    </xf>
    <xf numFmtId="0" fontId="17" fillId="10" borderId="46" xfId="0" applyFont="1" applyFill="1" applyBorder="1" applyAlignment="1">
      <alignment horizontal="center" vertical="center"/>
    </xf>
    <xf numFmtId="0" fontId="17" fillId="10" borderId="13" xfId="0" applyFont="1" applyFill="1" applyBorder="1" applyAlignment="1">
      <alignment horizontal="center" vertical="center"/>
    </xf>
    <xf numFmtId="0" fontId="17" fillId="10" borderId="27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1" fillId="0" borderId="3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distributed" shrinkToFit="1"/>
    </xf>
    <xf numFmtId="0" fontId="17" fillId="11" borderId="46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17" fillId="11" borderId="27" xfId="0" applyFont="1" applyFill="1" applyBorder="1" applyAlignment="1">
      <alignment horizontal="center" vertical="center" wrapText="1"/>
    </xf>
    <xf numFmtId="0" fontId="30" fillId="9" borderId="46" xfId="0" applyFont="1" applyFill="1" applyBorder="1" applyAlignment="1">
      <alignment horizontal="center" vertical="center" wrapText="1"/>
    </xf>
    <xf numFmtId="0" fontId="30" fillId="9" borderId="13" xfId="0" applyFont="1" applyFill="1" applyBorder="1" applyAlignment="1">
      <alignment horizontal="center" vertical="center" wrapText="1"/>
    </xf>
    <xf numFmtId="0" fontId="30" fillId="9" borderId="27" xfId="0" applyFont="1" applyFill="1" applyBorder="1" applyAlignment="1">
      <alignment horizontal="center" vertical="center" wrapText="1"/>
    </xf>
    <xf numFmtId="165" fontId="21" fillId="0" borderId="80" xfId="0" applyNumberFormat="1" applyFont="1" applyBorder="1" applyAlignment="1">
      <alignment horizontal="right"/>
    </xf>
    <xf numFmtId="165" fontId="21" fillId="0" borderId="81" xfId="0" applyNumberFormat="1" applyFont="1" applyBorder="1" applyAlignment="1">
      <alignment horizontal="right"/>
    </xf>
    <xf numFmtId="165" fontId="21" fillId="0" borderId="73" xfId="0" applyNumberFormat="1" applyFont="1" applyBorder="1" applyAlignment="1">
      <alignment horizontal="right"/>
    </xf>
    <xf numFmtId="165" fontId="21" fillId="0" borderId="56" xfId="0" applyNumberFormat="1" applyFont="1" applyBorder="1" applyAlignment="1">
      <alignment horizontal="right"/>
    </xf>
    <xf numFmtId="0" fontId="17" fillId="9" borderId="46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7" fillId="10" borderId="74" xfId="0" applyFont="1" applyFill="1" applyBorder="1" applyAlignment="1">
      <alignment horizontal="center" vertical="distributed"/>
    </xf>
    <xf numFmtId="0" fontId="17" fillId="10" borderId="75" xfId="0" applyFont="1" applyFill="1" applyBorder="1" applyAlignment="1">
      <alignment horizontal="center" vertical="distributed"/>
    </xf>
    <xf numFmtId="0" fontId="17" fillId="10" borderId="46" xfId="0" applyFont="1" applyFill="1" applyBorder="1" applyAlignment="1">
      <alignment horizontal="center" wrapText="1"/>
    </xf>
    <xf numFmtId="0" fontId="17" fillId="10" borderId="13" xfId="0" applyFont="1" applyFill="1" applyBorder="1" applyAlignment="1">
      <alignment horizontal="center" wrapText="1"/>
    </xf>
    <xf numFmtId="0" fontId="17" fillId="10" borderId="27" xfId="0" applyFont="1" applyFill="1" applyBorder="1" applyAlignment="1">
      <alignment horizontal="center" wrapText="1"/>
    </xf>
    <xf numFmtId="0" fontId="21" fillId="15" borderId="1" xfId="0" applyFont="1" applyFill="1" applyBorder="1" applyAlignment="1">
      <alignment horizontal="right"/>
    </xf>
    <xf numFmtId="165" fontId="21" fillId="15" borderId="52" xfId="0" applyNumberFormat="1" applyFont="1" applyFill="1" applyBorder="1" applyAlignment="1">
      <alignment horizontal="right"/>
    </xf>
    <xf numFmtId="0" fontId="9" fillId="15" borderId="3" xfId="0" applyFont="1" applyFill="1" applyBorder="1" applyAlignment="1">
      <alignment vertical="top" wrapText="1"/>
    </xf>
    <xf numFmtId="0" fontId="9" fillId="15" borderId="1" xfId="0" applyFont="1" applyFill="1" applyBorder="1" applyAlignment="1">
      <alignment vertical="top" wrapText="1"/>
    </xf>
    <xf numFmtId="165" fontId="21" fillId="15" borderId="56" xfId="0" applyNumberFormat="1" applyFont="1" applyFill="1" applyBorder="1" applyAlignment="1">
      <alignment horizontal="right"/>
    </xf>
    <xf numFmtId="165" fontId="24" fillId="0" borderId="3" xfId="0" applyNumberFormat="1" applyFont="1" applyBorder="1" applyAlignment="1">
      <alignment horizontal="right"/>
    </xf>
    <xf numFmtId="165" fontId="24" fillId="0" borderId="1" xfId="0" applyNumberFormat="1" applyFont="1" applyBorder="1" applyAlignment="1">
      <alignment horizontal="right"/>
    </xf>
    <xf numFmtId="0" fontId="17" fillId="10" borderId="69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0" borderId="70" xfId="0" applyFont="1" applyFill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10" borderId="69" xfId="0" applyFont="1" applyFill="1" applyBorder="1" applyAlignment="1">
      <alignment horizontal="center" vertical="distributed"/>
    </xf>
    <xf numFmtId="0" fontId="17" fillId="10" borderId="9" xfId="0" applyFont="1" applyFill="1" applyBorder="1" applyAlignment="1">
      <alignment horizontal="center" vertical="distributed"/>
    </xf>
    <xf numFmtId="0" fontId="17" fillId="10" borderId="70" xfId="0" applyFont="1" applyFill="1" applyBorder="1" applyAlignment="1">
      <alignment horizontal="center" vertical="distributed"/>
    </xf>
    <xf numFmtId="165" fontId="24" fillId="0" borderId="56" xfId="0" applyNumberFormat="1" applyFont="1" applyBorder="1" applyAlignment="1">
      <alignment horizontal="right"/>
    </xf>
    <xf numFmtId="165" fontId="24" fillId="0" borderId="52" xfId="0" applyNumberFormat="1" applyFont="1" applyBorder="1" applyAlignment="1">
      <alignment horizontal="right"/>
    </xf>
    <xf numFmtId="165" fontId="24" fillId="0" borderId="32" xfId="0" applyNumberFormat="1" applyFont="1" applyBorder="1" applyAlignment="1">
      <alignment horizontal="right"/>
    </xf>
    <xf numFmtId="0" fontId="24" fillId="0" borderId="23" xfId="0" applyFont="1" applyBorder="1" applyAlignment="1">
      <alignment horizontal="right"/>
    </xf>
    <xf numFmtId="165" fontId="21" fillId="15" borderId="68" xfId="0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9E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06"/>
  <sheetViews>
    <sheetView view="pageBreakPreview" zoomScale="115" zoomScaleNormal="100" zoomScaleSheetLayoutView="115" workbookViewId="0">
      <selection activeCell="A278" sqref="A278:J278"/>
    </sheetView>
  </sheetViews>
  <sheetFormatPr defaultColWidth="9.140625" defaultRowHeight="12.75" x14ac:dyDescent="0.2"/>
  <cols>
    <col min="1" max="1" width="9" style="2" customWidth="1"/>
    <col min="2" max="2" width="4.140625" style="2" customWidth="1"/>
    <col min="3" max="3" width="7.42578125" style="2" customWidth="1"/>
    <col min="4" max="4" width="60.7109375" style="2" customWidth="1"/>
    <col min="5" max="5" width="20.42578125" style="2" hidden="1" customWidth="1"/>
    <col min="6" max="6" width="14.7109375" style="187" customWidth="1"/>
    <col min="7" max="8" width="14.7109375" style="297" customWidth="1"/>
    <col min="9" max="9" width="6.7109375" style="187" customWidth="1"/>
    <col min="10" max="10" width="7.140625" style="187" customWidth="1"/>
    <col min="11" max="16384" width="9.140625" style="2"/>
  </cols>
  <sheetData>
    <row r="2" spans="1:10" s="98" customFormat="1" ht="16.5" customHeight="1" x14ac:dyDescent="0.2">
      <c r="A2" s="886" t="s">
        <v>169</v>
      </c>
      <c r="B2" s="886"/>
      <c r="C2" s="886"/>
      <c r="D2" s="886"/>
      <c r="E2" s="886"/>
      <c r="F2" s="886"/>
      <c r="G2" s="886"/>
      <c r="H2" s="886"/>
      <c r="I2" s="886"/>
      <c r="J2" s="886"/>
    </row>
    <row r="3" spans="1:10" s="98" customFormat="1" ht="18" customHeight="1" x14ac:dyDescent="0.2">
      <c r="A3" s="886" t="s">
        <v>114</v>
      </c>
      <c r="B3" s="886"/>
      <c r="C3" s="886"/>
      <c r="D3" s="886"/>
      <c r="E3" s="886"/>
      <c r="F3" s="886"/>
      <c r="G3" s="886"/>
      <c r="H3" s="886"/>
      <c r="I3" s="886"/>
      <c r="J3" s="886"/>
    </row>
    <row r="4" spans="1:10" s="98" customFormat="1" ht="30" customHeight="1" x14ac:dyDescent="0.2">
      <c r="A4" s="901" t="s">
        <v>278</v>
      </c>
      <c r="B4" s="901"/>
      <c r="C4" s="901"/>
      <c r="D4" s="901"/>
      <c r="E4" s="901"/>
      <c r="F4" s="901"/>
      <c r="G4" s="901"/>
      <c r="H4" s="901"/>
      <c r="I4" s="901"/>
      <c r="J4" s="901"/>
    </row>
    <row r="5" spans="1:10" ht="13.5" customHeight="1" thickBot="1" x14ac:dyDescent="0.25">
      <c r="A5" s="100"/>
      <c r="B5" s="100"/>
      <c r="C5" s="100"/>
      <c r="D5" s="100"/>
      <c r="E5" s="100"/>
      <c r="F5" s="262"/>
      <c r="G5" s="322"/>
      <c r="H5" s="322"/>
      <c r="I5" s="243"/>
      <c r="J5" s="243"/>
    </row>
    <row r="6" spans="1:10" s="42" customFormat="1" ht="36.75" customHeight="1" thickBot="1" x14ac:dyDescent="0.25">
      <c r="A6" s="332" t="s">
        <v>170</v>
      </c>
      <c r="B6" s="101" t="s">
        <v>109</v>
      </c>
      <c r="C6" s="102" t="s">
        <v>10</v>
      </c>
      <c r="D6" s="103" t="s">
        <v>171</v>
      </c>
      <c r="E6" s="102" t="s">
        <v>172</v>
      </c>
      <c r="F6" s="102" t="s">
        <v>173</v>
      </c>
      <c r="G6" s="320" t="s">
        <v>174</v>
      </c>
      <c r="H6" s="320" t="s">
        <v>175</v>
      </c>
      <c r="I6" s="339" t="s">
        <v>339</v>
      </c>
      <c r="J6" s="340" t="s">
        <v>341</v>
      </c>
    </row>
    <row r="7" spans="1:10" s="276" customFormat="1" ht="12" thickBot="1" x14ac:dyDescent="0.25">
      <c r="A7" s="273">
        <v>1</v>
      </c>
      <c r="B7" s="274">
        <v>2</v>
      </c>
      <c r="C7" s="275">
        <v>3</v>
      </c>
      <c r="D7" s="274">
        <v>4</v>
      </c>
      <c r="E7" s="274">
        <v>2</v>
      </c>
      <c r="F7" s="274">
        <v>5</v>
      </c>
      <c r="G7" s="321">
        <v>6</v>
      </c>
      <c r="H7" s="321">
        <v>7</v>
      </c>
      <c r="I7" s="333">
        <v>8</v>
      </c>
      <c r="J7" s="334">
        <v>9</v>
      </c>
    </row>
    <row r="8" spans="1:10" s="235" customFormat="1" ht="36" customHeight="1" thickBot="1" x14ac:dyDescent="0.3">
      <c r="A8" s="911" t="s">
        <v>286</v>
      </c>
      <c r="B8" s="912"/>
      <c r="C8" s="912"/>
      <c r="D8" s="912"/>
      <c r="E8" s="234">
        <f>SUM(E499)</f>
        <v>5608000</v>
      </c>
      <c r="F8" s="277">
        <f>SUM(F499)</f>
        <v>8864000</v>
      </c>
      <c r="G8" s="277">
        <f>SUM(G499)</f>
        <v>5897500</v>
      </c>
      <c r="H8" s="277">
        <f>SUM(H499)</f>
        <v>6257000</v>
      </c>
      <c r="I8" s="264">
        <f>AVERAGE(G8/F8*100)</f>
        <v>66.53316787003611</v>
      </c>
      <c r="J8" s="264">
        <f>AVERAGE(H8/G8*100)</f>
        <v>106.09580330648581</v>
      </c>
    </row>
    <row r="9" spans="1:10" s="227" customFormat="1" ht="18.75" thickBot="1" x14ac:dyDescent="0.3">
      <c r="A9" s="105"/>
      <c r="B9" s="105"/>
      <c r="C9" s="105"/>
      <c r="D9" s="105"/>
      <c r="E9" s="106"/>
      <c r="F9" s="278"/>
      <c r="G9" s="278"/>
      <c r="H9" s="278"/>
      <c r="I9" s="244"/>
      <c r="J9" s="244"/>
    </row>
    <row r="10" spans="1:10" s="116" customFormat="1" ht="15" customHeight="1" thickBot="1" x14ac:dyDescent="0.3">
      <c r="A10" s="921" t="s">
        <v>267</v>
      </c>
      <c r="B10" s="922"/>
      <c r="C10" s="922"/>
      <c r="D10" s="922"/>
      <c r="E10" s="215">
        <f>SUM(E12+E27)</f>
        <v>61000</v>
      </c>
      <c r="F10" s="280">
        <f>SUM(F12+F27)</f>
        <v>94000</v>
      </c>
      <c r="G10" s="280">
        <f>SUM(G12+G27)</f>
        <v>88000</v>
      </c>
      <c r="H10" s="280">
        <f>SUM(H12+H27)</f>
        <v>87000</v>
      </c>
      <c r="I10" s="245">
        <f>AVERAGE(G10/F10*100)</f>
        <v>93.61702127659575</v>
      </c>
      <c r="J10" s="245">
        <f>AVERAGE(H10/G10*100)</f>
        <v>98.86363636363636</v>
      </c>
    </row>
    <row r="11" spans="1:10" s="173" customFormat="1" ht="17.25" customHeight="1" thickBot="1" x14ac:dyDescent="0.3">
      <c r="A11" s="108"/>
      <c r="B11" s="108"/>
      <c r="C11" s="108"/>
      <c r="D11" s="108"/>
      <c r="E11" s="109"/>
      <c r="F11" s="281"/>
      <c r="G11" s="281"/>
      <c r="H11" s="281"/>
      <c r="I11" s="246"/>
      <c r="J11" s="246"/>
    </row>
    <row r="12" spans="1:10" s="111" customFormat="1" ht="15.75" customHeight="1" thickBot="1" x14ac:dyDescent="0.3">
      <c r="A12" s="887" t="s">
        <v>265</v>
      </c>
      <c r="B12" s="888"/>
      <c r="C12" s="888"/>
      <c r="D12" s="889"/>
      <c r="E12" s="110">
        <f>SUM(E16)</f>
        <v>61000</v>
      </c>
      <c r="F12" s="282">
        <f>SUM(F16)</f>
        <v>69000</v>
      </c>
      <c r="G12" s="282">
        <f>SUM(G16)</f>
        <v>66000</v>
      </c>
      <c r="H12" s="282">
        <f>SUM(H16)</f>
        <v>66000</v>
      </c>
      <c r="I12" s="247">
        <f>AVERAGE(G12/F12*100)</f>
        <v>95.652173913043484</v>
      </c>
      <c r="J12" s="247">
        <f>AVERAGE(H12/G12*100)</f>
        <v>100</v>
      </c>
    </row>
    <row r="13" spans="1:10" s="228" customFormat="1" ht="16.5" customHeight="1" x14ac:dyDescent="0.25">
      <c r="A13" s="112"/>
      <c r="B13" s="112"/>
      <c r="C13" s="112"/>
      <c r="D13" s="112"/>
      <c r="E13" s="113"/>
      <c r="F13" s="283"/>
      <c r="G13" s="283"/>
      <c r="H13" s="283"/>
      <c r="I13" s="246"/>
      <c r="J13" s="246"/>
    </row>
    <row r="14" spans="1:10" s="116" customFormat="1" ht="15.75" x14ac:dyDescent="0.25">
      <c r="A14" s="1"/>
      <c r="B14" s="1"/>
      <c r="C14" s="1"/>
      <c r="D14" s="114" t="s">
        <v>176</v>
      </c>
      <c r="E14" s="115"/>
      <c r="F14" s="284"/>
      <c r="G14" s="284"/>
      <c r="H14" s="323"/>
      <c r="I14" s="252"/>
      <c r="J14" s="252"/>
    </row>
    <row r="15" spans="1:10" s="1" customFormat="1" ht="15" x14ac:dyDescent="0.25">
      <c r="D15" s="242" t="s">
        <v>177</v>
      </c>
      <c r="E15" s="117"/>
      <c r="F15" s="285"/>
      <c r="G15" s="285"/>
      <c r="H15" s="324"/>
      <c r="I15" s="253"/>
      <c r="J15" s="253"/>
    </row>
    <row r="16" spans="1:10" s="1" customFormat="1" ht="15" x14ac:dyDescent="0.25">
      <c r="A16" s="118"/>
      <c r="B16" s="118"/>
      <c r="C16" s="118"/>
      <c r="D16" s="266" t="s">
        <v>289</v>
      </c>
      <c r="E16" s="119">
        <f>SUM(E17+E23)</f>
        <v>61000</v>
      </c>
      <c r="F16" s="286">
        <f>SUM(F17+F23)</f>
        <v>69000</v>
      </c>
      <c r="G16" s="286">
        <f>SUM(G17+G23)</f>
        <v>66000</v>
      </c>
      <c r="H16" s="328">
        <f>SUM(H17+H23)</f>
        <v>66000</v>
      </c>
      <c r="I16" s="330">
        <f>AVERAGE(G16/F16*100)</f>
        <v>95.652173913043484</v>
      </c>
      <c r="J16" s="330">
        <f>AVERAGE(H16/G16*100)</f>
        <v>100</v>
      </c>
    </row>
    <row r="17" spans="1:10" s="1" customFormat="1" x14ac:dyDescent="0.2">
      <c r="A17" s="150" t="s">
        <v>290</v>
      </c>
      <c r="B17" s="120"/>
      <c r="C17" s="121">
        <v>32</v>
      </c>
      <c r="D17" s="120" t="s">
        <v>178</v>
      </c>
      <c r="E17" s="122">
        <f>SUM(E18+E20)</f>
        <v>50000</v>
      </c>
      <c r="F17" s="287">
        <f>SUM(F18+F20)</f>
        <v>58000</v>
      </c>
      <c r="G17" s="287">
        <v>55000</v>
      </c>
      <c r="H17" s="287">
        <v>55000</v>
      </c>
      <c r="I17" s="329">
        <f>AVERAGE(G17/F17*100)</f>
        <v>94.827586206896555</v>
      </c>
      <c r="J17" s="329">
        <f>AVERAGE(H17/G17*100)</f>
        <v>100</v>
      </c>
    </row>
    <row r="18" spans="1:10" s="149" customFormat="1" ht="15" x14ac:dyDescent="0.2">
      <c r="A18" s="150" t="s">
        <v>290</v>
      </c>
      <c r="B18" s="148"/>
      <c r="C18" s="145">
        <v>323</v>
      </c>
      <c r="D18" s="146" t="s">
        <v>56</v>
      </c>
      <c r="E18" s="147">
        <f>SUM(E19)</f>
        <v>0</v>
      </c>
      <c r="F18" s="288">
        <f>SUM(F19)</f>
        <v>5000</v>
      </c>
      <c r="G18" s="288"/>
      <c r="H18" s="288"/>
      <c r="I18" s="329">
        <f t="shared" ref="I18:J25" si="0">AVERAGE(G18/F18*100)</f>
        <v>0</v>
      </c>
      <c r="J18" s="329"/>
    </row>
    <row r="19" spans="1:10" s="131" customFormat="1" ht="14.25" hidden="1" x14ac:dyDescent="0.2">
      <c r="A19" s="150" t="s">
        <v>290</v>
      </c>
      <c r="B19" s="148">
        <v>1</v>
      </c>
      <c r="C19" s="151">
        <v>3233</v>
      </c>
      <c r="D19" s="152" t="s">
        <v>59</v>
      </c>
      <c r="E19" s="153">
        <v>0</v>
      </c>
      <c r="F19" s="289">
        <v>5000</v>
      </c>
      <c r="G19" s="289"/>
      <c r="H19" s="289"/>
      <c r="I19" s="329">
        <f t="shared" si="0"/>
        <v>0</v>
      </c>
      <c r="J19" s="329"/>
    </row>
    <row r="20" spans="1:10" s="123" customFormat="1" ht="15" x14ac:dyDescent="0.25">
      <c r="A20" s="150" t="s">
        <v>290</v>
      </c>
      <c r="B20" s="120"/>
      <c r="C20" s="121">
        <v>329</v>
      </c>
      <c r="D20" s="120" t="s">
        <v>65</v>
      </c>
      <c r="E20" s="122">
        <f>SUM(E21:E22)</f>
        <v>50000</v>
      </c>
      <c r="F20" s="287">
        <f>SUM(F21:F22)</f>
        <v>53000</v>
      </c>
      <c r="G20" s="287"/>
      <c r="H20" s="287"/>
      <c r="I20" s="329">
        <f t="shared" si="0"/>
        <v>0</v>
      </c>
      <c r="J20" s="329"/>
    </row>
    <row r="21" spans="1:10" s="123" customFormat="1" ht="15" hidden="1" x14ac:dyDescent="0.25">
      <c r="A21" s="150" t="s">
        <v>290</v>
      </c>
      <c r="B21" s="124">
        <v>2</v>
      </c>
      <c r="C21" s="125">
        <v>3291</v>
      </c>
      <c r="D21" s="124" t="s">
        <v>66</v>
      </c>
      <c r="E21" s="126">
        <v>50000</v>
      </c>
      <c r="F21" s="290">
        <v>50000</v>
      </c>
      <c r="G21" s="290"/>
      <c r="H21" s="290"/>
      <c r="I21" s="329">
        <f t="shared" si="0"/>
        <v>0</v>
      </c>
      <c r="J21" s="329"/>
    </row>
    <row r="22" spans="1:10" s="123" customFormat="1" ht="15" hidden="1" x14ac:dyDescent="0.25">
      <c r="A22" s="150" t="s">
        <v>290</v>
      </c>
      <c r="B22" s="124">
        <v>3</v>
      </c>
      <c r="C22" s="125">
        <v>3293</v>
      </c>
      <c r="D22" s="124" t="s">
        <v>68</v>
      </c>
      <c r="E22" s="126">
        <v>0</v>
      </c>
      <c r="F22" s="290">
        <v>3000</v>
      </c>
      <c r="G22" s="290"/>
      <c r="H22" s="290"/>
      <c r="I22" s="329">
        <f t="shared" si="0"/>
        <v>0</v>
      </c>
      <c r="J22" s="329"/>
    </row>
    <row r="23" spans="1:10" s="1" customFormat="1" x14ac:dyDescent="0.2">
      <c r="A23" s="150" t="s">
        <v>290</v>
      </c>
      <c r="B23" s="120"/>
      <c r="C23" s="121">
        <v>38</v>
      </c>
      <c r="D23" s="120" t="s">
        <v>85</v>
      </c>
      <c r="E23" s="122">
        <f>SUM(E24)</f>
        <v>11000</v>
      </c>
      <c r="F23" s="287">
        <f>SUM(F24)</f>
        <v>11000</v>
      </c>
      <c r="G23" s="287">
        <v>11000</v>
      </c>
      <c r="H23" s="287">
        <v>11000</v>
      </c>
      <c r="I23" s="329">
        <f t="shared" si="0"/>
        <v>100</v>
      </c>
      <c r="J23" s="329">
        <f t="shared" si="0"/>
        <v>100</v>
      </c>
    </row>
    <row r="24" spans="1:10" s="123" customFormat="1" ht="15" x14ac:dyDescent="0.25">
      <c r="A24" s="150" t="s">
        <v>290</v>
      </c>
      <c r="B24" s="120"/>
      <c r="C24" s="121">
        <v>381</v>
      </c>
      <c r="D24" s="120" t="s">
        <v>37</v>
      </c>
      <c r="E24" s="122">
        <f>SUM(E25)</f>
        <v>11000</v>
      </c>
      <c r="F24" s="287">
        <f>SUM(F25)</f>
        <v>11000</v>
      </c>
      <c r="G24" s="287"/>
      <c r="H24" s="287"/>
      <c r="I24" s="329">
        <f t="shared" si="0"/>
        <v>0</v>
      </c>
      <c r="J24" s="329"/>
    </row>
    <row r="25" spans="1:10" s="123" customFormat="1" ht="15" hidden="1" x14ac:dyDescent="0.25">
      <c r="A25" s="150" t="s">
        <v>290</v>
      </c>
      <c r="B25" s="124">
        <v>4</v>
      </c>
      <c r="C25" s="125">
        <v>381142</v>
      </c>
      <c r="D25" s="124" t="s">
        <v>83</v>
      </c>
      <c r="E25" s="126">
        <v>11000</v>
      </c>
      <c r="F25" s="290">
        <v>11000</v>
      </c>
      <c r="G25" s="290"/>
      <c r="H25" s="290"/>
      <c r="I25" s="329">
        <f t="shared" si="0"/>
        <v>0</v>
      </c>
      <c r="J25" s="329"/>
    </row>
    <row r="26" spans="1:10" s="123" customFormat="1" ht="15.75" thickBot="1" x14ac:dyDescent="0.3">
      <c r="A26" s="128"/>
      <c r="B26" s="128"/>
      <c r="C26" s="129"/>
      <c r="D26" s="128"/>
      <c r="E26" s="130"/>
      <c r="F26" s="291"/>
      <c r="G26" s="292"/>
      <c r="H26" s="292"/>
      <c r="I26" s="251"/>
      <c r="J26" s="251"/>
    </row>
    <row r="27" spans="1:10" s="111" customFormat="1" ht="15.75" customHeight="1" thickBot="1" x14ac:dyDescent="0.3">
      <c r="A27" s="887" t="s">
        <v>266</v>
      </c>
      <c r="B27" s="888"/>
      <c r="C27" s="888"/>
      <c r="D27" s="889"/>
      <c r="E27" s="110">
        <f>SUM(E31)</f>
        <v>0</v>
      </c>
      <c r="F27" s="282">
        <f>SUM(F31)</f>
        <v>25000</v>
      </c>
      <c r="G27" s="282">
        <f>SUM(G31)</f>
        <v>22000</v>
      </c>
      <c r="H27" s="282">
        <f>SUM(H31)</f>
        <v>21000</v>
      </c>
      <c r="I27" s="247">
        <f>AVERAGE(G27/F27*100)</f>
        <v>88</v>
      </c>
      <c r="J27" s="247">
        <f>AVERAGE(H27/G27*100)</f>
        <v>95.454545454545453</v>
      </c>
    </row>
    <row r="28" spans="1:10" s="228" customFormat="1" ht="16.5" customHeight="1" x14ac:dyDescent="0.25">
      <c r="A28" s="112"/>
      <c r="B28" s="112"/>
      <c r="C28" s="112"/>
      <c r="D28" s="112"/>
      <c r="E28" s="113"/>
      <c r="F28" s="283"/>
      <c r="G28" s="283"/>
      <c r="H28" s="283"/>
      <c r="I28" s="246"/>
      <c r="J28" s="246"/>
    </row>
    <row r="29" spans="1:10" s="116" customFormat="1" ht="15.75" x14ac:dyDescent="0.25">
      <c r="A29" s="1"/>
      <c r="B29" s="1"/>
      <c r="C29" s="1"/>
      <c r="D29" s="114" t="s">
        <v>176</v>
      </c>
      <c r="E29" s="115"/>
      <c r="F29" s="284"/>
      <c r="G29" s="284"/>
      <c r="H29" s="284"/>
      <c r="I29" s="248"/>
      <c r="J29" s="248"/>
    </row>
    <row r="30" spans="1:10" s="1" customFormat="1" ht="15" x14ac:dyDescent="0.25">
      <c r="D30" s="242" t="s">
        <v>177</v>
      </c>
      <c r="E30" s="117"/>
      <c r="F30" s="285"/>
      <c r="G30" s="285"/>
      <c r="H30" s="285"/>
      <c r="I30" s="249"/>
      <c r="J30" s="249"/>
    </row>
    <row r="31" spans="1:10" s="1" customFormat="1" ht="15" x14ac:dyDescent="0.25">
      <c r="A31" s="118"/>
      <c r="B31" s="118"/>
      <c r="C31" s="118"/>
      <c r="D31" s="266" t="s">
        <v>292</v>
      </c>
      <c r="E31" s="119">
        <f>SUM(E32+E38)</f>
        <v>0</v>
      </c>
      <c r="F31" s="286">
        <f>SUM(F32+F38)</f>
        <v>25000</v>
      </c>
      <c r="G31" s="286">
        <f>SUM(G32+G38)</f>
        <v>22000</v>
      </c>
      <c r="H31" s="286">
        <f>SUM(H32+H38)</f>
        <v>21000</v>
      </c>
      <c r="I31" s="330">
        <f>AVERAGE(G31/F31*100)</f>
        <v>88</v>
      </c>
      <c r="J31" s="330">
        <f>AVERAGE(H31/G31*100)</f>
        <v>95.454545454545453</v>
      </c>
    </row>
    <row r="32" spans="1:10" s="1" customFormat="1" x14ac:dyDescent="0.2">
      <c r="A32" s="150" t="s">
        <v>291</v>
      </c>
      <c r="B32" s="120"/>
      <c r="C32" s="121">
        <v>32</v>
      </c>
      <c r="D32" s="120" t="s">
        <v>178</v>
      </c>
      <c r="E32" s="122">
        <f>SUM(E33+E35)</f>
        <v>0</v>
      </c>
      <c r="F32" s="287">
        <f>SUM(F33+F35)</f>
        <v>22000</v>
      </c>
      <c r="G32" s="287">
        <v>20000</v>
      </c>
      <c r="H32" s="287">
        <v>20000</v>
      </c>
      <c r="I32" s="329">
        <f t="shared" ref="I32:J40" si="1">AVERAGE(G32/F32*100)</f>
        <v>90.909090909090907</v>
      </c>
      <c r="J32" s="329">
        <f t="shared" si="1"/>
        <v>100</v>
      </c>
    </row>
    <row r="33" spans="1:10" s="149" customFormat="1" ht="15" x14ac:dyDescent="0.2">
      <c r="A33" s="150" t="s">
        <v>291</v>
      </c>
      <c r="B33" s="148"/>
      <c r="C33" s="145">
        <v>323</v>
      </c>
      <c r="D33" s="146" t="s">
        <v>56</v>
      </c>
      <c r="E33" s="147">
        <f>SUM(E34)</f>
        <v>0</v>
      </c>
      <c r="F33" s="288">
        <f>SUM(F34)</f>
        <v>10000</v>
      </c>
      <c r="G33" s="288"/>
      <c r="H33" s="288"/>
      <c r="I33" s="329">
        <f t="shared" si="1"/>
        <v>0</v>
      </c>
      <c r="J33" s="329"/>
    </row>
    <row r="34" spans="1:10" s="131" customFormat="1" ht="14.25" hidden="1" x14ac:dyDescent="0.2">
      <c r="A34" s="150" t="s">
        <v>291</v>
      </c>
      <c r="B34" s="148">
        <v>5</v>
      </c>
      <c r="C34" s="151">
        <v>3233</v>
      </c>
      <c r="D34" s="152" t="s">
        <v>59</v>
      </c>
      <c r="E34" s="153">
        <v>0</v>
      </c>
      <c r="F34" s="289">
        <v>10000</v>
      </c>
      <c r="G34" s="289"/>
      <c r="H34" s="289"/>
      <c r="I34" s="329">
        <f t="shared" si="1"/>
        <v>0</v>
      </c>
      <c r="J34" s="329"/>
    </row>
    <row r="35" spans="1:10" s="123" customFormat="1" ht="15" x14ac:dyDescent="0.25">
      <c r="A35" s="150" t="s">
        <v>291</v>
      </c>
      <c r="B35" s="120"/>
      <c r="C35" s="121">
        <v>329</v>
      </c>
      <c r="D35" s="120" t="s">
        <v>65</v>
      </c>
      <c r="E35" s="122">
        <f>SUM(E36:E37)</f>
        <v>0</v>
      </c>
      <c r="F35" s="287">
        <f>SUM(F36:F37)</f>
        <v>12000</v>
      </c>
      <c r="G35" s="287"/>
      <c r="H35" s="287"/>
      <c r="I35" s="329">
        <f t="shared" si="1"/>
        <v>0</v>
      </c>
      <c r="J35" s="329"/>
    </row>
    <row r="36" spans="1:10" s="123" customFormat="1" ht="15" hidden="1" x14ac:dyDescent="0.25">
      <c r="A36" s="150" t="s">
        <v>291</v>
      </c>
      <c r="B36" s="124">
        <v>6</v>
      </c>
      <c r="C36" s="125">
        <v>3293</v>
      </c>
      <c r="D36" s="124" t="s">
        <v>68</v>
      </c>
      <c r="E36" s="126">
        <v>0</v>
      </c>
      <c r="F36" s="290">
        <v>2000</v>
      </c>
      <c r="G36" s="290"/>
      <c r="H36" s="290"/>
      <c r="I36" s="329">
        <f t="shared" si="1"/>
        <v>0</v>
      </c>
      <c r="J36" s="329"/>
    </row>
    <row r="37" spans="1:10" s="123" customFormat="1" ht="15" hidden="1" x14ac:dyDescent="0.25">
      <c r="A37" s="150" t="s">
        <v>291</v>
      </c>
      <c r="B37" s="124">
        <v>7</v>
      </c>
      <c r="C37" s="125">
        <v>3299</v>
      </c>
      <c r="D37" s="124" t="s">
        <v>65</v>
      </c>
      <c r="E37" s="126">
        <v>0</v>
      </c>
      <c r="F37" s="290">
        <v>10000</v>
      </c>
      <c r="G37" s="290"/>
      <c r="H37" s="290"/>
      <c r="I37" s="329">
        <f t="shared" si="1"/>
        <v>0</v>
      </c>
      <c r="J37" s="329"/>
    </row>
    <row r="38" spans="1:10" s="1" customFormat="1" x14ac:dyDescent="0.2">
      <c r="A38" s="150" t="s">
        <v>291</v>
      </c>
      <c r="B38" s="120"/>
      <c r="C38" s="121">
        <v>38</v>
      </c>
      <c r="D38" s="120" t="s">
        <v>85</v>
      </c>
      <c r="E38" s="122">
        <f>SUM(E39)</f>
        <v>0</v>
      </c>
      <c r="F38" s="287">
        <f>SUM(F39)</f>
        <v>3000</v>
      </c>
      <c r="G38" s="287">
        <v>2000</v>
      </c>
      <c r="H38" s="287">
        <v>1000</v>
      </c>
      <c r="I38" s="329">
        <f t="shared" si="1"/>
        <v>66.666666666666657</v>
      </c>
      <c r="J38" s="329">
        <f t="shared" si="1"/>
        <v>50</v>
      </c>
    </row>
    <row r="39" spans="1:10" s="123" customFormat="1" ht="15" x14ac:dyDescent="0.25">
      <c r="A39" s="150" t="s">
        <v>291</v>
      </c>
      <c r="B39" s="120"/>
      <c r="C39" s="121">
        <v>381</v>
      </c>
      <c r="D39" s="120" t="s">
        <v>37</v>
      </c>
      <c r="E39" s="122">
        <f>SUM(E40)</f>
        <v>0</v>
      </c>
      <c r="F39" s="287">
        <f>SUM(F40)</f>
        <v>3000</v>
      </c>
      <c r="G39" s="287"/>
      <c r="H39" s="287"/>
      <c r="I39" s="329">
        <f t="shared" si="1"/>
        <v>0</v>
      </c>
      <c r="J39" s="329"/>
    </row>
    <row r="40" spans="1:10" s="123" customFormat="1" ht="15" hidden="1" x14ac:dyDescent="0.25">
      <c r="A40" s="150" t="s">
        <v>291</v>
      </c>
      <c r="B40" s="124">
        <v>8</v>
      </c>
      <c r="C40" s="125">
        <v>3811</v>
      </c>
      <c r="D40" s="124" t="s">
        <v>37</v>
      </c>
      <c r="E40" s="126">
        <v>0</v>
      </c>
      <c r="F40" s="290">
        <v>3000</v>
      </c>
      <c r="G40" s="290"/>
      <c r="H40" s="290"/>
      <c r="I40" s="329">
        <f t="shared" si="1"/>
        <v>0</v>
      </c>
      <c r="J40" s="329"/>
    </row>
    <row r="41" spans="1:10" s="123" customFormat="1" ht="15.75" thickBot="1" x14ac:dyDescent="0.3">
      <c r="A41" s="128"/>
      <c r="B41" s="128"/>
      <c r="C41" s="129"/>
      <c r="D41" s="128"/>
      <c r="E41" s="130"/>
      <c r="F41" s="292"/>
      <c r="G41" s="292"/>
      <c r="H41" s="292"/>
      <c r="I41" s="251"/>
      <c r="J41" s="251"/>
    </row>
    <row r="42" spans="1:10" s="131" customFormat="1" ht="17.25" thickBot="1" x14ac:dyDescent="0.3">
      <c r="A42" s="923" t="s">
        <v>268</v>
      </c>
      <c r="B42" s="924"/>
      <c r="C42" s="924"/>
      <c r="D42" s="925"/>
      <c r="E42" s="107">
        <f>SUM(E44)</f>
        <v>2116000</v>
      </c>
      <c r="F42" s="293">
        <f>SUM(F44)</f>
        <v>1273000</v>
      </c>
      <c r="G42" s="293">
        <f>SUM(G44)</f>
        <v>1260000</v>
      </c>
      <c r="H42" s="293">
        <f>SUM(H44)</f>
        <v>1230000</v>
      </c>
      <c r="I42" s="245">
        <f>AVERAGE(G42/F42*100)</f>
        <v>98.978790259230166</v>
      </c>
      <c r="J42" s="245">
        <f>AVERAGE(H42/G42*100)</f>
        <v>97.61904761904762</v>
      </c>
    </row>
    <row r="43" spans="1:10" s="131" customFormat="1" ht="16.5" thickBot="1" x14ac:dyDescent="0.3">
      <c r="A43" s="132"/>
      <c r="B43" s="116"/>
      <c r="C43" s="116"/>
      <c r="D43" s="116"/>
      <c r="E43" s="113"/>
      <c r="F43" s="283"/>
      <c r="G43" s="283"/>
      <c r="H43" s="283"/>
      <c r="I43" s="246"/>
      <c r="J43" s="246"/>
    </row>
    <row r="44" spans="1:10" s="131" customFormat="1" ht="16.5" thickBot="1" x14ac:dyDescent="0.3">
      <c r="A44" s="926" t="s">
        <v>269</v>
      </c>
      <c r="B44" s="927"/>
      <c r="C44" s="927"/>
      <c r="D44" s="928"/>
      <c r="E44" s="110">
        <f>SUM(E48+E66+E101+E111+E118+E125)</f>
        <v>2116000</v>
      </c>
      <c r="F44" s="282">
        <f>SUM(F48+F66+F101+F111+F118+F125)</f>
        <v>1273000</v>
      </c>
      <c r="G44" s="282">
        <f>SUM(G48+G66+G101+G111+G118+G125)</f>
        <v>1260000</v>
      </c>
      <c r="H44" s="282">
        <f>SUM(H48+H66+H101+H111+H118+H125)</f>
        <v>1230000</v>
      </c>
      <c r="I44" s="247">
        <f>AVERAGE(G44/F44*100)</f>
        <v>98.978790259230166</v>
      </c>
      <c r="J44" s="247">
        <f>AVERAGE(H44/G44*100)</f>
        <v>97.61904761904762</v>
      </c>
    </row>
    <row r="45" spans="1:10" s="131" customFormat="1" ht="15.75" x14ac:dyDescent="0.25">
      <c r="A45" s="133"/>
      <c r="B45" s="134"/>
      <c r="C45" s="134"/>
      <c r="D45" s="133"/>
      <c r="E45" s="113"/>
      <c r="F45" s="283"/>
      <c r="G45" s="283"/>
      <c r="H45" s="283"/>
      <c r="I45" s="246"/>
      <c r="J45" s="246"/>
    </row>
    <row r="46" spans="1:10" s="131" customFormat="1" ht="15" x14ac:dyDescent="0.25">
      <c r="A46" s="135"/>
      <c r="B46" s="135"/>
      <c r="C46" s="135"/>
      <c r="D46" s="136" t="s">
        <v>179</v>
      </c>
      <c r="E46" s="137"/>
      <c r="F46" s="294"/>
      <c r="G46" s="323"/>
      <c r="H46" s="326"/>
      <c r="I46" s="252"/>
      <c r="J46" s="252"/>
    </row>
    <row r="47" spans="1:10" s="131" customFormat="1" ht="15" x14ac:dyDescent="0.25">
      <c r="A47" s="135"/>
      <c r="B47" s="135"/>
      <c r="C47" s="135"/>
      <c r="D47" s="239" t="s">
        <v>180</v>
      </c>
      <c r="E47" s="139"/>
      <c r="F47" s="295"/>
      <c r="G47" s="324"/>
      <c r="H47" s="327"/>
      <c r="I47" s="253"/>
      <c r="J47" s="253"/>
    </row>
    <row r="48" spans="1:10" s="131" customFormat="1" ht="15" x14ac:dyDescent="0.25">
      <c r="A48" s="141"/>
      <c r="B48" s="141"/>
      <c r="C48" s="141"/>
      <c r="D48" s="265" t="s">
        <v>270</v>
      </c>
      <c r="E48" s="142">
        <f>SUM(E49+E57)</f>
        <v>694000</v>
      </c>
      <c r="F48" s="296">
        <f>SUM(F49+F57)</f>
        <v>614000</v>
      </c>
      <c r="G48" s="296">
        <f>SUM(G49+G57)</f>
        <v>620000</v>
      </c>
      <c r="H48" s="296">
        <f>SUM(H49+H57)</f>
        <v>625000</v>
      </c>
      <c r="I48" s="330">
        <f>AVERAGE(G48/F48*100)</f>
        <v>100.9771986970684</v>
      </c>
      <c r="J48" s="330">
        <f>AVERAGE(H48/G48*100)</f>
        <v>100.80645161290323</v>
      </c>
    </row>
    <row r="49" spans="1:10" s="131" customFormat="1" ht="14.25" x14ac:dyDescent="0.2">
      <c r="A49" s="150" t="s">
        <v>290</v>
      </c>
      <c r="B49" s="144"/>
      <c r="C49" s="145">
        <v>31</v>
      </c>
      <c r="D49" s="146" t="s">
        <v>41</v>
      </c>
      <c r="E49" s="147">
        <f>SUM(E50+E52+E54)</f>
        <v>613000</v>
      </c>
      <c r="F49" s="288">
        <f>SUM(F50+F52+F54)</f>
        <v>533000</v>
      </c>
      <c r="G49" s="288">
        <v>540000</v>
      </c>
      <c r="H49" s="288">
        <v>550000</v>
      </c>
      <c r="I49" s="329">
        <f t="shared" ref="I49:J62" si="2">AVERAGE(G49/F49*100)</f>
        <v>101.31332082551594</v>
      </c>
      <c r="J49" s="329">
        <f t="shared" si="2"/>
        <v>101.85185185185186</v>
      </c>
    </row>
    <row r="50" spans="1:10" s="149" customFormat="1" ht="15" x14ac:dyDescent="0.2">
      <c r="A50" s="150" t="s">
        <v>290</v>
      </c>
      <c r="B50" s="148"/>
      <c r="C50" s="145">
        <v>311</v>
      </c>
      <c r="D50" s="146" t="s">
        <v>181</v>
      </c>
      <c r="E50" s="147">
        <f>SUM(E51)</f>
        <v>500000</v>
      </c>
      <c r="F50" s="288">
        <f>SUM(F51)</f>
        <v>420000</v>
      </c>
      <c r="G50" s="288"/>
      <c r="H50" s="288"/>
      <c r="I50" s="329">
        <f t="shared" si="2"/>
        <v>0</v>
      </c>
      <c r="J50" s="329"/>
    </row>
    <row r="51" spans="1:10" s="131" customFormat="1" ht="14.25" hidden="1" x14ac:dyDescent="0.2">
      <c r="A51" s="150" t="s">
        <v>290</v>
      </c>
      <c r="B51" s="148">
        <v>9</v>
      </c>
      <c r="C51" s="151">
        <v>3111</v>
      </c>
      <c r="D51" s="152" t="s">
        <v>182</v>
      </c>
      <c r="E51" s="153">
        <v>500000</v>
      </c>
      <c r="F51" s="289">
        <v>420000</v>
      </c>
      <c r="G51" s="289"/>
      <c r="H51" s="289"/>
      <c r="I51" s="329">
        <f t="shared" si="2"/>
        <v>0</v>
      </c>
      <c r="J51" s="329"/>
    </row>
    <row r="52" spans="1:10" s="149" customFormat="1" ht="15" x14ac:dyDescent="0.2">
      <c r="A52" s="150" t="s">
        <v>290</v>
      </c>
      <c r="B52" s="144"/>
      <c r="C52" s="145">
        <v>312</v>
      </c>
      <c r="D52" s="146" t="s">
        <v>43</v>
      </c>
      <c r="E52" s="147">
        <f>SUM(E53)</f>
        <v>25000</v>
      </c>
      <c r="F52" s="288">
        <f>SUM(F53)</f>
        <v>25000</v>
      </c>
      <c r="G52" s="288"/>
      <c r="H52" s="288"/>
      <c r="I52" s="329">
        <f t="shared" si="2"/>
        <v>0</v>
      </c>
      <c r="J52" s="329"/>
    </row>
    <row r="53" spans="1:10" s="131" customFormat="1" ht="14.25" hidden="1" x14ac:dyDescent="0.2">
      <c r="A53" s="150" t="s">
        <v>290</v>
      </c>
      <c r="B53" s="148">
        <v>10</v>
      </c>
      <c r="C53" s="151">
        <v>3121</v>
      </c>
      <c r="D53" s="152" t="s">
        <v>43</v>
      </c>
      <c r="E53" s="153">
        <v>25000</v>
      </c>
      <c r="F53" s="289">
        <v>25000</v>
      </c>
      <c r="G53" s="289"/>
      <c r="H53" s="289"/>
      <c r="I53" s="329">
        <f t="shared" si="2"/>
        <v>0</v>
      </c>
      <c r="J53" s="329"/>
    </row>
    <row r="54" spans="1:10" s="131" customFormat="1" ht="14.25" x14ac:dyDescent="0.2">
      <c r="A54" s="150" t="s">
        <v>290</v>
      </c>
      <c r="B54" s="144"/>
      <c r="C54" s="145">
        <v>313</v>
      </c>
      <c r="D54" s="146" t="s">
        <v>44</v>
      </c>
      <c r="E54" s="147">
        <f>SUM(E55:E56)</f>
        <v>88000</v>
      </c>
      <c r="F54" s="288">
        <f>SUM(F55:F56)</f>
        <v>88000</v>
      </c>
      <c r="G54" s="288"/>
      <c r="H54" s="288"/>
      <c r="I54" s="329">
        <f t="shared" si="2"/>
        <v>0</v>
      </c>
      <c r="J54" s="329"/>
    </row>
    <row r="55" spans="1:10" s="131" customFormat="1" ht="14.25" hidden="1" x14ac:dyDescent="0.2">
      <c r="A55" s="150" t="s">
        <v>290</v>
      </c>
      <c r="B55" s="148">
        <v>11</v>
      </c>
      <c r="C55" s="151">
        <v>3132</v>
      </c>
      <c r="D55" s="152" t="s">
        <v>183</v>
      </c>
      <c r="E55" s="153">
        <v>75000</v>
      </c>
      <c r="F55" s="289">
        <v>75000</v>
      </c>
      <c r="G55" s="289"/>
      <c r="H55" s="289"/>
      <c r="I55" s="329">
        <f t="shared" si="2"/>
        <v>0</v>
      </c>
      <c r="J55" s="329"/>
    </row>
    <row r="56" spans="1:10" s="131" customFormat="1" ht="14.25" hidden="1" x14ac:dyDescent="0.2">
      <c r="A56" s="150" t="s">
        <v>290</v>
      </c>
      <c r="B56" s="148">
        <v>12</v>
      </c>
      <c r="C56" s="151">
        <v>3133</v>
      </c>
      <c r="D56" s="152" t="s">
        <v>184</v>
      </c>
      <c r="E56" s="153">
        <v>13000</v>
      </c>
      <c r="F56" s="289">
        <v>13000</v>
      </c>
      <c r="G56" s="289"/>
      <c r="H56" s="289"/>
      <c r="I56" s="329">
        <f t="shared" si="2"/>
        <v>0</v>
      </c>
      <c r="J56" s="329"/>
    </row>
    <row r="57" spans="1:10" s="131" customFormat="1" ht="14.25" x14ac:dyDescent="0.2">
      <c r="A57" s="150" t="s">
        <v>290</v>
      </c>
      <c r="B57" s="144"/>
      <c r="C57" s="145">
        <v>32</v>
      </c>
      <c r="D57" s="146" t="s">
        <v>47</v>
      </c>
      <c r="E57" s="147">
        <f>SUM(E58)</f>
        <v>81000</v>
      </c>
      <c r="F57" s="288">
        <f>SUM(F58)</f>
        <v>81000</v>
      </c>
      <c r="G57" s="288">
        <v>80000</v>
      </c>
      <c r="H57" s="288">
        <v>75000</v>
      </c>
      <c r="I57" s="329">
        <f t="shared" si="2"/>
        <v>98.76543209876543</v>
      </c>
      <c r="J57" s="329">
        <f t="shared" si="2"/>
        <v>93.75</v>
      </c>
    </row>
    <row r="58" spans="1:10" s="131" customFormat="1" ht="14.25" x14ac:dyDescent="0.2">
      <c r="A58" s="150" t="s">
        <v>290</v>
      </c>
      <c r="B58" s="144"/>
      <c r="C58" s="145">
        <v>321</v>
      </c>
      <c r="D58" s="146" t="s">
        <v>48</v>
      </c>
      <c r="E58" s="147">
        <f>SUM(E59:E62)</f>
        <v>81000</v>
      </c>
      <c r="F58" s="288">
        <f>SUM(F59:F62)</f>
        <v>81000</v>
      </c>
      <c r="G58" s="288"/>
      <c r="H58" s="288"/>
      <c r="I58" s="329">
        <f t="shared" si="2"/>
        <v>0</v>
      </c>
      <c r="J58" s="329"/>
    </row>
    <row r="59" spans="1:10" s="154" customFormat="1" ht="15" hidden="1" x14ac:dyDescent="0.2">
      <c r="A59" s="150" t="s">
        <v>290</v>
      </c>
      <c r="B59" s="148">
        <v>13</v>
      </c>
      <c r="C59" s="151">
        <v>3211</v>
      </c>
      <c r="D59" s="152" t="s">
        <v>49</v>
      </c>
      <c r="E59" s="153">
        <v>30000</v>
      </c>
      <c r="F59" s="289">
        <v>30000</v>
      </c>
      <c r="G59" s="289"/>
      <c r="H59" s="289"/>
      <c r="I59" s="329">
        <f t="shared" si="2"/>
        <v>0</v>
      </c>
      <c r="J59" s="329"/>
    </row>
    <row r="60" spans="1:10" s="149" customFormat="1" ht="15" hidden="1" x14ac:dyDescent="0.2">
      <c r="A60" s="150" t="s">
        <v>290</v>
      </c>
      <c r="B60" s="148">
        <v>14</v>
      </c>
      <c r="C60" s="151">
        <v>3212</v>
      </c>
      <c r="D60" s="152" t="s">
        <v>50</v>
      </c>
      <c r="E60" s="153">
        <v>26000</v>
      </c>
      <c r="F60" s="289">
        <v>26000</v>
      </c>
      <c r="G60" s="289"/>
      <c r="H60" s="289"/>
      <c r="I60" s="329">
        <f t="shared" si="2"/>
        <v>0</v>
      </c>
      <c r="J60" s="329"/>
    </row>
    <row r="61" spans="1:10" s="131" customFormat="1" ht="14.25" hidden="1" x14ac:dyDescent="0.2">
      <c r="A61" s="150" t="s">
        <v>290</v>
      </c>
      <c r="B61" s="148">
        <v>15</v>
      </c>
      <c r="C61" s="151">
        <v>3213</v>
      </c>
      <c r="D61" s="152" t="s">
        <v>51</v>
      </c>
      <c r="E61" s="153">
        <v>10000</v>
      </c>
      <c r="F61" s="289">
        <v>10000</v>
      </c>
      <c r="G61" s="289"/>
      <c r="H61" s="289"/>
      <c r="I61" s="329">
        <f t="shared" si="2"/>
        <v>0</v>
      </c>
      <c r="J61" s="329"/>
    </row>
    <row r="62" spans="1:10" s="131" customFormat="1" ht="14.25" hidden="1" x14ac:dyDescent="0.2">
      <c r="A62" s="150" t="s">
        <v>290</v>
      </c>
      <c r="B62" s="148">
        <v>16</v>
      </c>
      <c r="C62" s="151">
        <v>3214</v>
      </c>
      <c r="D62" s="152" t="s">
        <v>185</v>
      </c>
      <c r="E62" s="153">
        <v>15000</v>
      </c>
      <c r="F62" s="289">
        <v>15000</v>
      </c>
      <c r="G62" s="289"/>
      <c r="H62" s="289"/>
      <c r="I62" s="329">
        <f t="shared" si="2"/>
        <v>0</v>
      </c>
      <c r="J62" s="329"/>
    </row>
    <row r="63" spans="1:10" s="131" customFormat="1" ht="14.25" x14ac:dyDescent="0.2">
      <c r="A63" s="155"/>
      <c r="B63" s="2"/>
      <c r="C63" s="156"/>
      <c r="D63" s="157"/>
      <c r="E63" s="158"/>
      <c r="F63" s="297"/>
      <c r="G63" s="297"/>
      <c r="H63" s="297"/>
      <c r="I63" s="246"/>
      <c r="J63" s="246"/>
    </row>
    <row r="64" spans="1:10" s="131" customFormat="1" ht="15" x14ac:dyDescent="0.25">
      <c r="A64" s="159"/>
      <c r="B64" s="159"/>
      <c r="C64" s="159"/>
      <c r="D64" s="160" t="s">
        <v>176</v>
      </c>
      <c r="E64" s="138"/>
      <c r="F64" s="294"/>
      <c r="G64" s="294"/>
      <c r="H64" s="323"/>
      <c r="I64" s="252"/>
      <c r="J64" s="252"/>
    </row>
    <row r="65" spans="1:10" s="1" customFormat="1" ht="15" x14ac:dyDescent="0.25">
      <c r="A65" s="159"/>
      <c r="B65" s="159"/>
      <c r="C65" s="159"/>
      <c r="D65" s="241" t="s">
        <v>186</v>
      </c>
      <c r="E65" s="140"/>
      <c r="F65" s="295"/>
      <c r="G65" s="295"/>
      <c r="H65" s="324"/>
      <c r="I65" s="253"/>
      <c r="J65" s="253"/>
    </row>
    <row r="66" spans="1:10" s="1" customFormat="1" ht="15" x14ac:dyDescent="0.25">
      <c r="A66" s="161"/>
      <c r="B66" s="161"/>
      <c r="C66" s="161"/>
      <c r="D66" s="265" t="s">
        <v>288</v>
      </c>
      <c r="E66" s="143">
        <f>SUM(E67+E91)</f>
        <v>1335000</v>
      </c>
      <c r="F66" s="298">
        <f>SUM(F67+F91)</f>
        <v>554000</v>
      </c>
      <c r="G66" s="298">
        <f>SUM(G67+G91)</f>
        <v>545000</v>
      </c>
      <c r="H66" s="298">
        <f>SUM(H67+H91)</f>
        <v>515000</v>
      </c>
      <c r="I66" s="330">
        <f>AVERAGE(G66/F66*100)</f>
        <v>98.375451263537911</v>
      </c>
      <c r="J66" s="330">
        <f>AVERAGE(H66/G66*100)</f>
        <v>94.495412844036693</v>
      </c>
    </row>
    <row r="67" spans="1:10" s="1" customFormat="1" x14ac:dyDescent="0.2">
      <c r="A67" s="150" t="s">
        <v>304</v>
      </c>
      <c r="B67" s="144"/>
      <c r="C67" s="145">
        <v>32</v>
      </c>
      <c r="D67" s="146" t="s">
        <v>47</v>
      </c>
      <c r="E67" s="147">
        <f>SUM(E68+E73+E82+E84)</f>
        <v>1314000</v>
      </c>
      <c r="F67" s="288">
        <f>SUM(F68+F73+F82+F84)</f>
        <v>541000</v>
      </c>
      <c r="G67" s="288">
        <v>530000</v>
      </c>
      <c r="H67" s="288">
        <v>500000</v>
      </c>
      <c r="I67" s="329">
        <f>AVERAGE(G67/F67*100)</f>
        <v>97.966728280961178</v>
      </c>
      <c r="J67" s="329">
        <f>AVERAGE(H67/G67*100)</f>
        <v>94.339622641509436</v>
      </c>
    </row>
    <row r="68" spans="1:10" s="149" customFormat="1" ht="15" x14ac:dyDescent="0.2">
      <c r="A68" s="150" t="s">
        <v>304</v>
      </c>
      <c r="B68" s="144"/>
      <c r="C68" s="145">
        <v>322</v>
      </c>
      <c r="D68" s="146" t="s">
        <v>52</v>
      </c>
      <c r="E68" s="147">
        <f>SUM(E69:E72)</f>
        <v>293000</v>
      </c>
      <c r="F68" s="288">
        <f>SUM(F69:F72)</f>
        <v>225000</v>
      </c>
      <c r="G68" s="288"/>
      <c r="H68" s="288"/>
      <c r="I68" s="329">
        <f t="shared" ref="I68:I91" si="3">AVERAGE(G68/F68*100)</f>
        <v>0</v>
      </c>
      <c r="J68" s="329"/>
    </row>
    <row r="69" spans="1:10" s="149" customFormat="1" ht="15" hidden="1" x14ac:dyDescent="0.2">
      <c r="A69" s="150" t="s">
        <v>304</v>
      </c>
      <c r="B69" s="148">
        <v>17</v>
      </c>
      <c r="C69" s="151">
        <v>3221</v>
      </c>
      <c r="D69" s="152" t="s">
        <v>53</v>
      </c>
      <c r="E69" s="153">
        <v>15000</v>
      </c>
      <c r="F69" s="289">
        <v>15000</v>
      </c>
      <c r="G69" s="289"/>
      <c r="H69" s="289"/>
      <c r="I69" s="329">
        <f t="shared" si="3"/>
        <v>0</v>
      </c>
      <c r="J69" s="329"/>
    </row>
    <row r="70" spans="1:10" s="131" customFormat="1" ht="14.25" hidden="1" x14ac:dyDescent="0.2">
      <c r="A70" s="150" t="s">
        <v>304</v>
      </c>
      <c r="B70" s="148">
        <v>18</v>
      </c>
      <c r="C70" s="151">
        <v>3223</v>
      </c>
      <c r="D70" s="152" t="s">
        <v>54</v>
      </c>
      <c r="E70" s="153">
        <v>250000</v>
      </c>
      <c r="F70" s="289">
        <v>200000</v>
      </c>
      <c r="G70" s="289"/>
      <c r="H70" s="289"/>
      <c r="I70" s="329">
        <f t="shared" si="3"/>
        <v>0</v>
      </c>
      <c r="J70" s="329"/>
    </row>
    <row r="71" spans="1:10" s="131" customFormat="1" ht="14.25" hidden="1" x14ac:dyDescent="0.2">
      <c r="A71" s="150" t="s">
        <v>304</v>
      </c>
      <c r="B71" s="148">
        <v>19</v>
      </c>
      <c r="C71" s="151">
        <v>3224</v>
      </c>
      <c r="D71" s="152" t="s">
        <v>187</v>
      </c>
      <c r="E71" s="153">
        <v>20000</v>
      </c>
      <c r="F71" s="289">
        <v>5000</v>
      </c>
      <c r="G71" s="289"/>
      <c r="H71" s="289"/>
      <c r="I71" s="329">
        <f t="shared" si="3"/>
        <v>0</v>
      </c>
      <c r="J71" s="329"/>
    </row>
    <row r="72" spans="1:10" s="131" customFormat="1" ht="14.25" hidden="1" x14ac:dyDescent="0.2">
      <c r="A72" s="150" t="s">
        <v>304</v>
      </c>
      <c r="B72" s="148">
        <v>20</v>
      </c>
      <c r="C72" s="151">
        <v>3225</v>
      </c>
      <c r="D72" s="152" t="s">
        <v>188</v>
      </c>
      <c r="E72" s="153">
        <v>8000</v>
      </c>
      <c r="F72" s="289">
        <v>5000</v>
      </c>
      <c r="G72" s="289"/>
      <c r="H72" s="289"/>
      <c r="I72" s="329">
        <f t="shared" si="3"/>
        <v>0</v>
      </c>
      <c r="J72" s="329"/>
    </row>
    <row r="73" spans="1:10" s="131" customFormat="1" ht="14.25" x14ac:dyDescent="0.2">
      <c r="A73" s="150" t="s">
        <v>304</v>
      </c>
      <c r="B73" s="120"/>
      <c r="C73" s="162">
        <v>323</v>
      </c>
      <c r="D73" s="163" t="s">
        <v>56</v>
      </c>
      <c r="E73" s="147">
        <f>SUM(E74:E81)</f>
        <v>896000</v>
      </c>
      <c r="F73" s="288">
        <f>SUM(F74:F81)</f>
        <v>225000</v>
      </c>
      <c r="G73" s="288"/>
      <c r="H73" s="288"/>
      <c r="I73" s="329">
        <f t="shared" si="3"/>
        <v>0</v>
      </c>
      <c r="J73" s="329"/>
    </row>
    <row r="74" spans="1:10" s="1" customFormat="1" hidden="1" x14ac:dyDescent="0.2">
      <c r="A74" s="150" t="s">
        <v>304</v>
      </c>
      <c r="B74" s="124">
        <v>21</v>
      </c>
      <c r="C74" s="164">
        <v>3231</v>
      </c>
      <c r="D74" s="165" t="s">
        <v>57</v>
      </c>
      <c r="E74" s="126">
        <v>35000</v>
      </c>
      <c r="F74" s="290">
        <v>30000</v>
      </c>
      <c r="G74" s="290"/>
      <c r="H74" s="290"/>
      <c r="I74" s="329">
        <f t="shared" si="3"/>
        <v>0</v>
      </c>
      <c r="J74" s="329"/>
    </row>
    <row r="75" spans="1:10" s="1" customFormat="1" hidden="1" x14ac:dyDescent="0.2">
      <c r="A75" s="150" t="s">
        <v>304</v>
      </c>
      <c r="B75" s="124">
        <v>22</v>
      </c>
      <c r="C75" s="164">
        <v>3232</v>
      </c>
      <c r="D75" s="165" t="s">
        <v>189</v>
      </c>
      <c r="E75" s="126">
        <v>500000</v>
      </c>
      <c r="F75" s="290">
        <v>5000</v>
      </c>
      <c r="G75" s="290"/>
      <c r="H75" s="290"/>
      <c r="I75" s="329">
        <f t="shared" si="3"/>
        <v>0</v>
      </c>
      <c r="J75" s="329"/>
    </row>
    <row r="76" spans="1:10" s="149" customFormat="1" ht="15" hidden="1" x14ac:dyDescent="0.2">
      <c r="A76" s="150" t="s">
        <v>304</v>
      </c>
      <c r="B76" s="124">
        <v>23</v>
      </c>
      <c r="C76" s="164">
        <v>3233</v>
      </c>
      <c r="D76" s="124" t="s">
        <v>59</v>
      </c>
      <c r="E76" s="126">
        <v>30000</v>
      </c>
      <c r="F76" s="290">
        <v>10000</v>
      </c>
      <c r="G76" s="290"/>
      <c r="H76" s="290"/>
      <c r="I76" s="329">
        <f t="shared" si="3"/>
        <v>0</v>
      </c>
      <c r="J76" s="329"/>
    </row>
    <row r="77" spans="1:10" s="149" customFormat="1" ht="15" hidden="1" x14ac:dyDescent="0.2">
      <c r="A77" s="150" t="s">
        <v>304</v>
      </c>
      <c r="B77" s="124">
        <v>24</v>
      </c>
      <c r="C77" s="164">
        <v>3234</v>
      </c>
      <c r="D77" s="124" t="s">
        <v>60</v>
      </c>
      <c r="E77" s="126">
        <v>120000</v>
      </c>
      <c r="F77" s="290">
        <v>35000</v>
      </c>
      <c r="G77" s="290"/>
      <c r="H77" s="290"/>
      <c r="I77" s="329">
        <f t="shared" si="3"/>
        <v>0</v>
      </c>
      <c r="J77" s="329"/>
    </row>
    <row r="78" spans="1:10" s="131" customFormat="1" ht="25.5" hidden="1" x14ac:dyDescent="0.2">
      <c r="A78" s="150" t="s">
        <v>304</v>
      </c>
      <c r="B78" s="124">
        <v>25</v>
      </c>
      <c r="C78" s="164">
        <v>3236</v>
      </c>
      <c r="D78" s="165" t="s">
        <v>190</v>
      </c>
      <c r="E78" s="126">
        <v>1000</v>
      </c>
      <c r="F78" s="290">
        <v>5000</v>
      </c>
      <c r="G78" s="290"/>
      <c r="H78" s="290"/>
      <c r="I78" s="329">
        <f t="shared" si="3"/>
        <v>0</v>
      </c>
      <c r="J78" s="329"/>
    </row>
    <row r="79" spans="1:10" s="94" customFormat="1" hidden="1" x14ac:dyDescent="0.2">
      <c r="A79" s="150" t="s">
        <v>304</v>
      </c>
      <c r="B79" s="124">
        <v>26</v>
      </c>
      <c r="C79" s="164">
        <v>3237</v>
      </c>
      <c r="D79" s="165" t="s">
        <v>62</v>
      </c>
      <c r="E79" s="126">
        <v>180000</v>
      </c>
      <c r="F79" s="290">
        <v>130000</v>
      </c>
      <c r="G79" s="290"/>
      <c r="H79" s="290"/>
      <c r="I79" s="329">
        <f t="shared" si="3"/>
        <v>0</v>
      </c>
      <c r="J79" s="329"/>
    </row>
    <row r="80" spans="1:10" s="94" customFormat="1" hidden="1" x14ac:dyDescent="0.2">
      <c r="A80" s="150" t="s">
        <v>304</v>
      </c>
      <c r="B80" s="124">
        <v>27</v>
      </c>
      <c r="C80" s="164">
        <v>3238</v>
      </c>
      <c r="D80" s="165" t="s">
        <v>63</v>
      </c>
      <c r="E80" s="126">
        <v>5000</v>
      </c>
      <c r="F80" s="290">
        <v>5000</v>
      </c>
      <c r="G80" s="290"/>
      <c r="H80" s="290"/>
      <c r="I80" s="329">
        <f t="shared" si="3"/>
        <v>0</v>
      </c>
      <c r="J80" s="329"/>
    </row>
    <row r="81" spans="1:10" s="94" customFormat="1" hidden="1" x14ac:dyDescent="0.2">
      <c r="A81" s="150" t="s">
        <v>304</v>
      </c>
      <c r="B81" s="124">
        <v>28</v>
      </c>
      <c r="C81" s="164">
        <v>3239</v>
      </c>
      <c r="D81" s="165" t="s">
        <v>64</v>
      </c>
      <c r="E81" s="126">
        <v>25000</v>
      </c>
      <c r="F81" s="290">
        <v>5000</v>
      </c>
      <c r="G81" s="290"/>
      <c r="H81" s="290"/>
      <c r="I81" s="329">
        <f t="shared" si="3"/>
        <v>0</v>
      </c>
      <c r="J81" s="329"/>
    </row>
    <row r="82" spans="1:10" s="149" customFormat="1" ht="15" x14ac:dyDescent="0.2">
      <c r="A82" s="150" t="s">
        <v>304</v>
      </c>
      <c r="B82" s="120"/>
      <c r="C82" s="162">
        <v>324</v>
      </c>
      <c r="D82" s="163" t="s">
        <v>140</v>
      </c>
      <c r="E82" s="147">
        <f>SUM(E83)</f>
        <v>1000</v>
      </c>
      <c r="F82" s="288">
        <f>SUM(F83)</f>
        <v>6000</v>
      </c>
      <c r="G82" s="288"/>
      <c r="H82" s="288"/>
      <c r="I82" s="329">
        <f t="shared" si="3"/>
        <v>0</v>
      </c>
      <c r="J82" s="329"/>
    </row>
    <row r="83" spans="1:10" s="149" customFormat="1" ht="15" hidden="1" x14ac:dyDescent="0.2">
      <c r="A83" s="150" t="s">
        <v>304</v>
      </c>
      <c r="B83" s="124">
        <v>29</v>
      </c>
      <c r="C83" s="164">
        <v>3241</v>
      </c>
      <c r="D83" s="165" t="s">
        <v>140</v>
      </c>
      <c r="E83" s="126">
        <v>1000</v>
      </c>
      <c r="F83" s="290">
        <v>6000</v>
      </c>
      <c r="G83" s="290"/>
      <c r="H83" s="290"/>
      <c r="I83" s="329">
        <f t="shared" si="3"/>
        <v>0</v>
      </c>
      <c r="J83" s="329"/>
    </row>
    <row r="84" spans="1:10" s="131" customFormat="1" ht="14.25" x14ac:dyDescent="0.2">
      <c r="A84" s="150" t="s">
        <v>304</v>
      </c>
      <c r="B84" s="120"/>
      <c r="C84" s="162">
        <v>329</v>
      </c>
      <c r="D84" s="163" t="s">
        <v>65</v>
      </c>
      <c r="E84" s="122">
        <f>SUM(E85:E90)</f>
        <v>124000</v>
      </c>
      <c r="F84" s="287">
        <f>SUM(F85:F90)</f>
        <v>85000</v>
      </c>
      <c r="G84" s="287"/>
      <c r="H84" s="287"/>
      <c r="I84" s="329">
        <f t="shared" si="3"/>
        <v>0</v>
      </c>
      <c r="J84" s="329"/>
    </row>
    <row r="85" spans="1:10" s="1" customFormat="1" hidden="1" x14ac:dyDescent="0.2">
      <c r="A85" s="150" t="s">
        <v>304</v>
      </c>
      <c r="B85" s="124">
        <v>30</v>
      </c>
      <c r="C85" s="164">
        <v>3292</v>
      </c>
      <c r="D85" s="165" t="s">
        <v>67</v>
      </c>
      <c r="E85" s="126">
        <v>12000</v>
      </c>
      <c r="F85" s="290">
        <v>17000</v>
      </c>
      <c r="G85" s="290"/>
      <c r="H85" s="290"/>
      <c r="I85" s="329">
        <f t="shared" si="3"/>
        <v>0</v>
      </c>
      <c r="J85" s="329"/>
    </row>
    <row r="86" spans="1:10" s="1" customFormat="1" hidden="1" x14ac:dyDescent="0.2">
      <c r="A86" s="150" t="s">
        <v>304</v>
      </c>
      <c r="B86" s="124">
        <v>31</v>
      </c>
      <c r="C86" s="164">
        <v>3293</v>
      </c>
      <c r="D86" s="165" t="s">
        <v>68</v>
      </c>
      <c r="E86" s="126">
        <v>80000</v>
      </c>
      <c r="F86" s="290">
        <v>50000</v>
      </c>
      <c r="G86" s="290"/>
      <c r="H86" s="290"/>
      <c r="I86" s="329">
        <f t="shared" si="3"/>
        <v>0</v>
      </c>
      <c r="J86" s="329"/>
    </row>
    <row r="87" spans="1:10" s="1" customFormat="1" hidden="1" x14ac:dyDescent="0.2">
      <c r="A87" s="150" t="s">
        <v>304</v>
      </c>
      <c r="B87" s="124">
        <v>32</v>
      </c>
      <c r="C87" s="164">
        <v>3294</v>
      </c>
      <c r="D87" s="165" t="s">
        <v>69</v>
      </c>
      <c r="E87" s="126">
        <v>4000</v>
      </c>
      <c r="F87" s="290">
        <v>5000</v>
      </c>
      <c r="G87" s="290"/>
      <c r="H87" s="290"/>
      <c r="I87" s="329">
        <f t="shared" si="3"/>
        <v>0</v>
      </c>
      <c r="J87" s="329"/>
    </row>
    <row r="88" spans="1:10" s="149" customFormat="1" ht="15" hidden="1" x14ac:dyDescent="0.2">
      <c r="A88" s="150" t="s">
        <v>304</v>
      </c>
      <c r="B88" s="124">
        <v>33</v>
      </c>
      <c r="C88" s="164">
        <v>3295</v>
      </c>
      <c r="D88" s="165" t="s">
        <v>191</v>
      </c>
      <c r="E88" s="126">
        <v>4000</v>
      </c>
      <c r="F88" s="290">
        <v>4000</v>
      </c>
      <c r="G88" s="290"/>
      <c r="H88" s="290"/>
      <c r="I88" s="329">
        <f t="shared" si="3"/>
        <v>0</v>
      </c>
      <c r="J88" s="329"/>
    </row>
    <row r="89" spans="1:10" s="149" customFormat="1" ht="15" hidden="1" x14ac:dyDescent="0.2">
      <c r="A89" s="150" t="s">
        <v>304</v>
      </c>
      <c r="B89" s="124">
        <v>34</v>
      </c>
      <c r="C89" s="164">
        <v>3296</v>
      </c>
      <c r="D89" s="165" t="s">
        <v>192</v>
      </c>
      <c r="E89" s="126">
        <v>0</v>
      </c>
      <c r="F89" s="290">
        <v>1000</v>
      </c>
      <c r="G89" s="290"/>
      <c r="H89" s="290"/>
      <c r="I89" s="329">
        <f t="shared" si="3"/>
        <v>0</v>
      </c>
      <c r="J89" s="329"/>
    </row>
    <row r="90" spans="1:10" s="149" customFormat="1" ht="15" hidden="1" x14ac:dyDescent="0.2">
      <c r="A90" s="150" t="s">
        <v>304</v>
      </c>
      <c r="B90" s="124">
        <v>35</v>
      </c>
      <c r="C90" s="164">
        <v>3299</v>
      </c>
      <c r="D90" s="165" t="s">
        <v>65</v>
      </c>
      <c r="E90" s="126">
        <v>24000</v>
      </c>
      <c r="F90" s="290">
        <v>8000</v>
      </c>
      <c r="G90" s="290"/>
      <c r="H90" s="290"/>
      <c r="I90" s="329">
        <f t="shared" si="3"/>
        <v>0</v>
      </c>
      <c r="J90" s="329"/>
    </row>
    <row r="91" spans="1:10" s="131" customFormat="1" ht="14.25" x14ac:dyDescent="0.2">
      <c r="A91" s="150" t="s">
        <v>304</v>
      </c>
      <c r="B91" s="166"/>
      <c r="C91" s="167">
        <v>34</v>
      </c>
      <c r="D91" s="168" t="s">
        <v>70</v>
      </c>
      <c r="E91" s="169">
        <f>SUM(E92+E94)</f>
        <v>21000</v>
      </c>
      <c r="F91" s="299">
        <f>SUM(F94)</f>
        <v>13000</v>
      </c>
      <c r="G91" s="299">
        <v>15000</v>
      </c>
      <c r="H91" s="299">
        <v>15000</v>
      </c>
      <c r="I91" s="329">
        <f t="shared" si="3"/>
        <v>115.38461538461537</v>
      </c>
      <c r="J91" s="329">
        <f>AVERAGE(H91/G91*100)</f>
        <v>100</v>
      </c>
    </row>
    <row r="92" spans="1:10" s="149" customFormat="1" ht="15" x14ac:dyDescent="0.2">
      <c r="A92" s="150" t="s">
        <v>304</v>
      </c>
      <c r="B92" s="120"/>
      <c r="C92" s="162">
        <v>342</v>
      </c>
      <c r="D92" s="163" t="s">
        <v>264</v>
      </c>
      <c r="E92" s="147">
        <f>SUM(E93)</f>
        <v>5000</v>
      </c>
      <c r="F92" s="288">
        <f>SUM(F93)</f>
        <v>0</v>
      </c>
      <c r="G92" s="288"/>
      <c r="H92" s="288"/>
      <c r="I92" s="329">
        <v>0</v>
      </c>
      <c r="J92" s="329"/>
    </row>
    <row r="93" spans="1:10" s="149" customFormat="1" ht="15" hidden="1" x14ac:dyDescent="0.2">
      <c r="A93" s="150" t="s">
        <v>304</v>
      </c>
      <c r="B93" s="124">
        <v>36</v>
      </c>
      <c r="C93" s="164">
        <v>3423</v>
      </c>
      <c r="D93" s="165" t="s">
        <v>264</v>
      </c>
      <c r="E93" s="126">
        <v>5000</v>
      </c>
      <c r="F93" s="290">
        <v>0</v>
      </c>
      <c r="G93" s="290"/>
      <c r="H93" s="290"/>
      <c r="I93" s="329">
        <v>0</v>
      </c>
      <c r="J93" s="329"/>
    </row>
    <row r="94" spans="1:10" s="131" customFormat="1" ht="14.25" x14ac:dyDescent="0.2">
      <c r="A94" s="150" t="s">
        <v>304</v>
      </c>
      <c r="B94" s="120"/>
      <c r="C94" s="162">
        <v>343</v>
      </c>
      <c r="D94" s="163" t="s">
        <v>71</v>
      </c>
      <c r="E94" s="122">
        <f>SUM(E95:E97)</f>
        <v>16000</v>
      </c>
      <c r="F94" s="287">
        <f>SUM(F95:F97)</f>
        <v>13000</v>
      </c>
      <c r="G94" s="287"/>
      <c r="H94" s="287"/>
      <c r="I94" s="329">
        <f>AVERAGE(G94/F94*100)</f>
        <v>0</v>
      </c>
      <c r="J94" s="329"/>
    </row>
    <row r="95" spans="1:10" s="131" customFormat="1" ht="14.25" hidden="1" x14ac:dyDescent="0.2">
      <c r="A95" s="150" t="s">
        <v>304</v>
      </c>
      <c r="B95" s="124">
        <v>37</v>
      </c>
      <c r="C95" s="164">
        <v>3431</v>
      </c>
      <c r="D95" s="165" t="s">
        <v>72</v>
      </c>
      <c r="E95" s="126">
        <v>11000</v>
      </c>
      <c r="F95" s="290">
        <v>10000</v>
      </c>
      <c r="G95" s="290"/>
      <c r="H95" s="290"/>
      <c r="I95" s="329">
        <f>AVERAGE(G95/F95*100)</f>
        <v>0</v>
      </c>
      <c r="J95" s="329"/>
    </row>
    <row r="96" spans="1:10" s="131" customFormat="1" ht="14.25" hidden="1" x14ac:dyDescent="0.2">
      <c r="A96" s="150" t="s">
        <v>304</v>
      </c>
      <c r="B96" s="124">
        <v>38</v>
      </c>
      <c r="C96" s="164">
        <v>3433</v>
      </c>
      <c r="D96" s="165" t="s">
        <v>73</v>
      </c>
      <c r="E96" s="126">
        <v>1000</v>
      </c>
      <c r="F96" s="290">
        <v>1000</v>
      </c>
      <c r="G96" s="290"/>
      <c r="H96" s="290"/>
      <c r="I96" s="329">
        <f>AVERAGE(G96/F96*100)</f>
        <v>0</v>
      </c>
      <c r="J96" s="329"/>
    </row>
    <row r="97" spans="1:10" s="131" customFormat="1" ht="14.25" hidden="1" x14ac:dyDescent="0.2">
      <c r="A97" s="150" t="s">
        <v>304</v>
      </c>
      <c r="B97" s="124">
        <v>39</v>
      </c>
      <c r="C97" s="164">
        <v>3434</v>
      </c>
      <c r="D97" s="165" t="s">
        <v>74</v>
      </c>
      <c r="E97" s="126">
        <v>4000</v>
      </c>
      <c r="F97" s="290">
        <v>2000</v>
      </c>
      <c r="G97" s="290"/>
      <c r="H97" s="290"/>
      <c r="I97" s="329">
        <f>AVERAGE(G97/F97*100)</f>
        <v>0</v>
      </c>
      <c r="J97" s="329"/>
    </row>
    <row r="98" spans="1:10" s="173" customFormat="1" ht="16.5" x14ac:dyDescent="0.25">
      <c r="A98" s="170"/>
      <c r="B98" s="128"/>
      <c r="C98" s="171"/>
      <c r="D98" s="172"/>
      <c r="E98" s="130"/>
      <c r="F98" s="292"/>
      <c r="G98" s="292"/>
      <c r="H98" s="292"/>
      <c r="I98" s="251"/>
      <c r="J98" s="251"/>
    </row>
    <row r="99" spans="1:10" s="173" customFormat="1" ht="16.5" x14ac:dyDescent="0.25">
      <c r="A99" s="123"/>
      <c r="B99" s="123"/>
      <c r="C99" s="123"/>
      <c r="D99" s="174" t="s">
        <v>176</v>
      </c>
      <c r="E99" s="138"/>
      <c r="F99" s="294"/>
      <c r="G99" s="294"/>
      <c r="H99" s="323"/>
      <c r="I99" s="252"/>
      <c r="J99" s="252"/>
    </row>
    <row r="100" spans="1:10" s="116" customFormat="1" ht="15.75" x14ac:dyDescent="0.25">
      <c r="A100" s="123"/>
      <c r="B100" s="123"/>
      <c r="C100" s="123"/>
      <c r="D100" s="240" t="s">
        <v>193</v>
      </c>
      <c r="E100" s="140"/>
      <c r="F100" s="295"/>
      <c r="G100" s="295"/>
      <c r="H100" s="324"/>
      <c r="I100" s="253"/>
      <c r="J100" s="253"/>
    </row>
    <row r="101" spans="1:10" s="116" customFormat="1" ht="15.75" x14ac:dyDescent="0.25">
      <c r="A101" s="175"/>
      <c r="B101" s="175"/>
      <c r="C101" s="175"/>
      <c r="D101" s="269" t="s">
        <v>293</v>
      </c>
      <c r="E101" s="176">
        <f t="shared" ref="E101:H102" si="4">SUM(E102)</f>
        <v>72000</v>
      </c>
      <c r="F101" s="300">
        <f t="shared" si="4"/>
        <v>60000</v>
      </c>
      <c r="G101" s="300">
        <f t="shared" si="4"/>
        <v>50000</v>
      </c>
      <c r="H101" s="300">
        <f t="shared" si="4"/>
        <v>45000</v>
      </c>
      <c r="I101" s="330">
        <f>AVERAGE(G101/F101*100)</f>
        <v>83.333333333333343</v>
      </c>
      <c r="J101" s="330">
        <f>AVERAGE(H101/G101*100)</f>
        <v>90</v>
      </c>
    </row>
    <row r="102" spans="1:10" s="1" customFormat="1" x14ac:dyDescent="0.2">
      <c r="A102" s="124" t="s">
        <v>305</v>
      </c>
      <c r="B102" s="120"/>
      <c r="C102" s="162">
        <v>42</v>
      </c>
      <c r="D102" s="163" t="s">
        <v>96</v>
      </c>
      <c r="E102" s="122">
        <f t="shared" si="4"/>
        <v>72000</v>
      </c>
      <c r="F102" s="287">
        <f t="shared" si="4"/>
        <v>60000</v>
      </c>
      <c r="G102" s="287">
        <v>50000</v>
      </c>
      <c r="H102" s="287">
        <v>45000</v>
      </c>
      <c r="I102" s="329">
        <f t="shared" ref="I102:J107" si="5">AVERAGE(G102/F102*100)</f>
        <v>83.333333333333343</v>
      </c>
      <c r="J102" s="329">
        <f t="shared" si="5"/>
        <v>90</v>
      </c>
    </row>
    <row r="103" spans="1:10" s="1" customFormat="1" x14ac:dyDescent="0.2">
      <c r="A103" s="124" t="s">
        <v>305</v>
      </c>
      <c r="B103" s="120"/>
      <c r="C103" s="162">
        <v>422</v>
      </c>
      <c r="D103" s="163" t="s">
        <v>99</v>
      </c>
      <c r="E103" s="122">
        <f>SUM(E104:E107)</f>
        <v>72000</v>
      </c>
      <c r="F103" s="287">
        <f>SUM(F104:F107)</f>
        <v>60000</v>
      </c>
      <c r="G103" s="287"/>
      <c r="H103" s="287"/>
      <c r="I103" s="329">
        <f t="shared" si="5"/>
        <v>0</v>
      </c>
      <c r="J103" s="329"/>
    </row>
    <row r="104" spans="1:10" s="1" customFormat="1" hidden="1" x14ac:dyDescent="0.2">
      <c r="A104" s="124" t="s">
        <v>305</v>
      </c>
      <c r="B104" s="124">
        <v>40</v>
      </c>
      <c r="C104" s="164">
        <v>4221</v>
      </c>
      <c r="D104" s="165" t="s">
        <v>100</v>
      </c>
      <c r="E104" s="126">
        <v>20000</v>
      </c>
      <c r="F104" s="290">
        <v>20000</v>
      </c>
      <c r="G104" s="290"/>
      <c r="H104" s="290"/>
      <c r="I104" s="329">
        <f t="shared" si="5"/>
        <v>0</v>
      </c>
      <c r="J104" s="329"/>
    </row>
    <row r="105" spans="1:10" s="1" customFormat="1" hidden="1" x14ac:dyDescent="0.2">
      <c r="A105" s="124" t="s">
        <v>305</v>
      </c>
      <c r="B105" s="124">
        <v>41</v>
      </c>
      <c r="C105" s="164">
        <v>4222</v>
      </c>
      <c r="D105" s="165" t="s">
        <v>101</v>
      </c>
      <c r="E105" s="126">
        <v>5000</v>
      </c>
      <c r="F105" s="290">
        <v>5000</v>
      </c>
      <c r="G105" s="290"/>
      <c r="H105" s="290"/>
      <c r="I105" s="329">
        <f t="shared" si="5"/>
        <v>0</v>
      </c>
      <c r="J105" s="329"/>
    </row>
    <row r="106" spans="1:10" s="149" customFormat="1" ht="15" hidden="1" x14ac:dyDescent="0.2">
      <c r="A106" s="124" t="s">
        <v>305</v>
      </c>
      <c r="B106" s="124">
        <v>42</v>
      </c>
      <c r="C106" s="164">
        <v>4223</v>
      </c>
      <c r="D106" s="165" t="s">
        <v>112</v>
      </c>
      <c r="E106" s="126">
        <v>12000</v>
      </c>
      <c r="F106" s="290">
        <v>10000</v>
      </c>
      <c r="G106" s="290"/>
      <c r="H106" s="290"/>
      <c r="I106" s="329">
        <f t="shared" si="5"/>
        <v>0</v>
      </c>
      <c r="J106" s="329"/>
    </row>
    <row r="107" spans="1:10" s="131" customFormat="1" ht="14.25" hidden="1" x14ac:dyDescent="0.2">
      <c r="A107" s="124" t="s">
        <v>305</v>
      </c>
      <c r="B107" s="124">
        <v>43</v>
      </c>
      <c r="C107" s="164">
        <v>4227</v>
      </c>
      <c r="D107" s="165" t="s">
        <v>102</v>
      </c>
      <c r="E107" s="126">
        <v>35000</v>
      </c>
      <c r="F107" s="290">
        <v>25000</v>
      </c>
      <c r="G107" s="290"/>
      <c r="H107" s="290"/>
      <c r="I107" s="329">
        <f t="shared" si="5"/>
        <v>0</v>
      </c>
      <c r="J107" s="329"/>
    </row>
    <row r="108" spans="1:10" s="131" customFormat="1" ht="14.25" x14ac:dyDescent="0.2">
      <c r="C108" s="177"/>
      <c r="D108" s="178"/>
      <c r="E108" s="179"/>
      <c r="F108" s="301"/>
      <c r="G108" s="301"/>
      <c r="H108" s="301"/>
      <c r="I108" s="251"/>
      <c r="J108" s="251"/>
    </row>
    <row r="109" spans="1:10" s="131" customFormat="1" ht="15" x14ac:dyDescent="0.25">
      <c r="A109" s="123"/>
      <c r="B109" s="123"/>
      <c r="C109" s="123"/>
      <c r="D109" s="136" t="s">
        <v>176</v>
      </c>
      <c r="E109" s="138"/>
      <c r="F109" s="294"/>
      <c r="G109" s="284"/>
      <c r="H109" s="284"/>
      <c r="I109" s="248"/>
      <c r="J109" s="248"/>
    </row>
    <row r="110" spans="1:10" s="131" customFormat="1" ht="15" x14ac:dyDescent="0.25">
      <c r="A110" s="123"/>
      <c r="B110" s="123"/>
      <c r="C110" s="123"/>
      <c r="D110" s="239" t="s">
        <v>193</v>
      </c>
      <c r="E110" s="140"/>
      <c r="F110" s="295"/>
      <c r="G110" s="285"/>
      <c r="H110" s="285"/>
      <c r="I110" s="249"/>
      <c r="J110" s="249"/>
    </row>
    <row r="111" spans="1:10" s="1" customFormat="1" ht="15" x14ac:dyDescent="0.25">
      <c r="A111" s="175"/>
      <c r="B111" s="175"/>
      <c r="C111" s="175"/>
      <c r="D111" s="270" t="s">
        <v>294</v>
      </c>
      <c r="E111" s="176">
        <f t="shared" ref="E111:H113" si="6">SUM(E112)</f>
        <v>5000</v>
      </c>
      <c r="F111" s="300">
        <f t="shared" si="6"/>
        <v>5000</v>
      </c>
      <c r="G111" s="286">
        <f t="shared" si="6"/>
        <v>5000</v>
      </c>
      <c r="H111" s="286">
        <f t="shared" si="6"/>
        <v>5000</v>
      </c>
      <c r="I111" s="330">
        <f>AVERAGE(G111/F111*100)</f>
        <v>100</v>
      </c>
      <c r="J111" s="330">
        <f>AVERAGE(H111/G111*100)</f>
        <v>100</v>
      </c>
    </row>
    <row r="112" spans="1:10" s="1" customFormat="1" x14ac:dyDescent="0.2">
      <c r="A112" s="233" t="s">
        <v>306</v>
      </c>
      <c r="B112" s="120"/>
      <c r="C112" s="162">
        <v>42</v>
      </c>
      <c r="D112" s="163" t="s">
        <v>96</v>
      </c>
      <c r="E112" s="122">
        <f t="shared" si="6"/>
        <v>5000</v>
      </c>
      <c r="F112" s="287">
        <f t="shared" si="6"/>
        <v>5000</v>
      </c>
      <c r="G112" s="287">
        <v>5000</v>
      </c>
      <c r="H112" s="287">
        <v>5000</v>
      </c>
      <c r="I112" s="329">
        <f t="shared" ref="I112:J114" si="7">AVERAGE(G112/F112*100)</f>
        <v>100</v>
      </c>
      <c r="J112" s="329">
        <f t="shared" si="7"/>
        <v>100</v>
      </c>
    </row>
    <row r="113" spans="1:10" s="1" customFormat="1" x14ac:dyDescent="0.2">
      <c r="A113" s="233" t="s">
        <v>306</v>
      </c>
      <c r="B113" s="120"/>
      <c r="C113" s="162">
        <v>426</v>
      </c>
      <c r="D113" s="163" t="s">
        <v>117</v>
      </c>
      <c r="E113" s="122">
        <f t="shared" si="6"/>
        <v>5000</v>
      </c>
      <c r="F113" s="287">
        <f t="shared" si="6"/>
        <v>5000</v>
      </c>
      <c r="G113" s="287"/>
      <c r="H113" s="287"/>
      <c r="I113" s="329">
        <f t="shared" si="7"/>
        <v>0</v>
      </c>
      <c r="J113" s="329"/>
    </row>
    <row r="114" spans="1:10" s="1" customFormat="1" ht="15" hidden="1" customHeight="1" x14ac:dyDescent="0.2">
      <c r="A114" s="233" t="s">
        <v>306</v>
      </c>
      <c r="B114" s="124">
        <v>44</v>
      </c>
      <c r="C114" s="164">
        <v>4262</v>
      </c>
      <c r="D114" s="165" t="s">
        <v>194</v>
      </c>
      <c r="E114" s="126">
        <v>5000</v>
      </c>
      <c r="F114" s="290">
        <v>5000</v>
      </c>
      <c r="G114" s="290"/>
      <c r="H114" s="290"/>
      <c r="I114" s="329">
        <f t="shared" si="7"/>
        <v>0</v>
      </c>
      <c r="J114" s="329"/>
    </row>
    <row r="115" spans="1:10" s="1" customFormat="1" x14ac:dyDescent="0.2">
      <c r="A115" s="128"/>
      <c r="B115" s="128"/>
      <c r="C115" s="171"/>
      <c r="D115" s="172"/>
      <c r="E115" s="130"/>
      <c r="F115" s="292"/>
      <c r="G115" s="292"/>
      <c r="H115" s="292"/>
      <c r="I115" s="251"/>
      <c r="J115" s="251"/>
    </row>
    <row r="116" spans="1:10" s="182" customFormat="1" ht="15" x14ac:dyDescent="0.2">
      <c r="A116" s="94"/>
      <c r="B116" s="94"/>
      <c r="C116" s="94"/>
      <c r="D116" s="180" t="s">
        <v>176</v>
      </c>
      <c r="E116" s="181"/>
      <c r="F116" s="302"/>
      <c r="G116" s="302"/>
      <c r="H116" s="302"/>
      <c r="I116" s="248"/>
      <c r="J116" s="248"/>
    </row>
    <row r="117" spans="1:10" s="149" customFormat="1" ht="15" x14ac:dyDescent="0.25">
      <c r="A117" s="94"/>
      <c r="B117" s="94"/>
      <c r="C117" s="94"/>
      <c r="D117" s="238" t="s">
        <v>195</v>
      </c>
      <c r="E117" s="117"/>
      <c r="F117" s="285"/>
      <c r="G117" s="285"/>
      <c r="H117" s="285"/>
      <c r="I117" s="249"/>
      <c r="J117" s="249"/>
    </row>
    <row r="118" spans="1:10" s="131" customFormat="1" ht="15" x14ac:dyDescent="0.25">
      <c r="A118" s="184"/>
      <c r="B118" s="184"/>
      <c r="C118" s="184"/>
      <c r="D118" s="266" t="s">
        <v>295</v>
      </c>
      <c r="E118" s="119">
        <f t="shared" ref="E118:H120" si="8">SUM(E119)</f>
        <v>0</v>
      </c>
      <c r="F118" s="286">
        <f t="shared" si="8"/>
        <v>30000</v>
      </c>
      <c r="G118" s="286">
        <f t="shared" si="8"/>
        <v>30000</v>
      </c>
      <c r="H118" s="286">
        <f t="shared" si="8"/>
        <v>30000</v>
      </c>
      <c r="I118" s="330">
        <f>AVERAGE(G118/F118*100)</f>
        <v>100</v>
      </c>
      <c r="J118" s="330">
        <f>AVERAGE(H118/G118*100)</f>
        <v>100</v>
      </c>
    </row>
    <row r="119" spans="1:10" s="149" customFormat="1" ht="15" x14ac:dyDescent="0.2">
      <c r="A119" s="233" t="s">
        <v>307</v>
      </c>
      <c r="B119" s="120"/>
      <c r="C119" s="162">
        <v>32</v>
      </c>
      <c r="D119" s="163" t="s">
        <v>47</v>
      </c>
      <c r="E119" s="122">
        <f t="shared" si="8"/>
        <v>0</v>
      </c>
      <c r="F119" s="287">
        <f t="shared" si="8"/>
        <v>30000</v>
      </c>
      <c r="G119" s="287">
        <v>30000</v>
      </c>
      <c r="H119" s="287">
        <v>30000</v>
      </c>
      <c r="I119" s="329">
        <f t="shared" ref="I119:J121" si="9">AVERAGE(G119/F119*100)</f>
        <v>100</v>
      </c>
      <c r="J119" s="329">
        <f t="shared" si="9"/>
        <v>100</v>
      </c>
    </row>
    <row r="120" spans="1:10" s="131" customFormat="1" ht="14.25" x14ac:dyDescent="0.2">
      <c r="A120" s="233" t="s">
        <v>307</v>
      </c>
      <c r="B120" s="120"/>
      <c r="C120" s="162">
        <v>323</v>
      </c>
      <c r="D120" s="163" t="s">
        <v>56</v>
      </c>
      <c r="E120" s="122">
        <f t="shared" si="8"/>
        <v>0</v>
      </c>
      <c r="F120" s="287">
        <f t="shared" si="8"/>
        <v>30000</v>
      </c>
      <c r="G120" s="287"/>
      <c r="H120" s="287"/>
      <c r="I120" s="329">
        <f t="shared" si="9"/>
        <v>0</v>
      </c>
      <c r="J120" s="329"/>
    </row>
    <row r="121" spans="1:10" s="149" customFormat="1" ht="15" hidden="1" x14ac:dyDescent="0.2">
      <c r="A121" s="233" t="s">
        <v>307</v>
      </c>
      <c r="B121" s="124">
        <v>45</v>
      </c>
      <c r="C121" s="164">
        <v>3237</v>
      </c>
      <c r="D121" s="165" t="s">
        <v>62</v>
      </c>
      <c r="E121" s="126">
        <v>0</v>
      </c>
      <c r="F121" s="290">
        <v>30000</v>
      </c>
      <c r="G121" s="290"/>
      <c r="H121" s="290"/>
      <c r="I121" s="329">
        <f t="shared" si="9"/>
        <v>0</v>
      </c>
      <c r="J121" s="329"/>
    </row>
    <row r="122" spans="1:10" s="149" customFormat="1" ht="15" x14ac:dyDescent="0.2">
      <c r="A122" s="185"/>
      <c r="B122" s="104"/>
      <c r="C122" s="185"/>
      <c r="D122" s="104"/>
      <c r="E122" s="185"/>
      <c r="F122" s="303"/>
      <c r="G122" s="303"/>
      <c r="H122" s="303"/>
      <c r="I122" s="254"/>
      <c r="J122" s="254"/>
    </row>
    <row r="123" spans="1:10" s="131" customFormat="1" ht="15" x14ac:dyDescent="0.25">
      <c r="A123" s="123"/>
      <c r="B123" s="123"/>
      <c r="C123" s="123"/>
      <c r="D123" s="180" t="s">
        <v>176</v>
      </c>
      <c r="E123" s="115"/>
      <c r="F123" s="284"/>
      <c r="G123" s="284"/>
      <c r="H123" s="284"/>
      <c r="I123" s="248"/>
      <c r="J123" s="248"/>
    </row>
    <row r="124" spans="1:10" s="131" customFormat="1" ht="15" x14ac:dyDescent="0.25">
      <c r="A124" s="123"/>
      <c r="B124" s="123"/>
      <c r="C124" s="123"/>
      <c r="D124" s="238" t="s">
        <v>193</v>
      </c>
      <c r="E124" s="117"/>
      <c r="F124" s="285"/>
      <c r="G124" s="285"/>
      <c r="H124" s="285"/>
      <c r="I124" s="249"/>
      <c r="J124" s="249"/>
    </row>
    <row r="125" spans="1:10" ht="15" x14ac:dyDescent="0.25">
      <c r="A125" s="175"/>
      <c r="B125" s="175"/>
      <c r="C125" s="175"/>
      <c r="D125" s="266" t="s">
        <v>296</v>
      </c>
      <c r="E125" s="186">
        <f>SUM(E126+E129)</f>
        <v>10000</v>
      </c>
      <c r="F125" s="279">
        <f>SUM(F126+F129)</f>
        <v>10000</v>
      </c>
      <c r="G125" s="279">
        <f>SUM(G126+G129)</f>
        <v>10000</v>
      </c>
      <c r="H125" s="279">
        <f>SUM(H126+H129)</f>
        <v>10000</v>
      </c>
      <c r="I125" s="330">
        <f>AVERAGE(G125/F125*100)</f>
        <v>100</v>
      </c>
      <c r="J125" s="330">
        <f>AVERAGE(H125/G125*100)</f>
        <v>100</v>
      </c>
    </row>
    <row r="126" spans="1:10" x14ac:dyDescent="0.2">
      <c r="A126" s="233" t="s">
        <v>308</v>
      </c>
      <c r="B126" s="120"/>
      <c r="C126" s="162">
        <v>32</v>
      </c>
      <c r="D126" s="163" t="s">
        <v>47</v>
      </c>
      <c r="E126" s="122">
        <f>SUM(E127)</f>
        <v>0</v>
      </c>
      <c r="F126" s="287">
        <f t="shared" ref="F126:H127" si="10">SUM(F127)</f>
        <v>0</v>
      </c>
      <c r="G126" s="287">
        <f t="shared" si="10"/>
        <v>0</v>
      </c>
      <c r="H126" s="287">
        <f t="shared" si="10"/>
        <v>0</v>
      </c>
      <c r="I126" s="329">
        <v>0</v>
      </c>
      <c r="J126" s="329"/>
    </row>
    <row r="127" spans="1:10" x14ac:dyDescent="0.2">
      <c r="A127" s="233" t="s">
        <v>308</v>
      </c>
      <c r="B127" s="120"/>
      <c r="C127" s="162">
        <v>329</v>
      </c>
      <c r="D127" s="163" t="s">
        <v>65</v>
      </c>
      <c r="E127" s="122">
        <f>SUM(E128)</f>
        <v>0</v>
      </c>
      <c r="F127" s="287">
        <f t="shared" si="10"/>
        <v>0</v>
      </c>
      <c r="G127" s="287"/>
      <c r="H127" s="287"/>
      <c r="I127" s="329">
        <v>0</v>
      </c>
      <c r="J127" s="329"/>
    </row>
    <row r="128" spans="1:10" ht="14.25" hidden="1" customHeight="1" x14ac:dyDescent="0.2">
      <c r="A128" s="233" t="s">
        <v>308</v>
      </c>
      <c r="B128" s="124">
        <v>46</v>
      </c>
      <c r="C128" s="164">
        <v>3299</v>
      </c>
      <c r="D128" s="165" t="s">
        <v>65</v>
      </c>
      <c r="E128" s="126">
        <v>0</v>
      </c>
      <c r="F128" s="290">
        <v>0</v>
      </c>
      <c r="G128" s="290"/>
      <c r="H128" s="290"/>
      <c r="I128" s="329">
        <v>0</v>
      </c>
      <c r="J128" s="329"/>
    </row>
    <row r="129" spans="1:10" s="187" customFormat="1" x14ac:dyDescent="0.2">
      <c r="A129" s="233" t="s">
        <v>308</v>
      </c>
      <c r="B129" s="124"/>
      <c r="C129" s="121">
        <v>38</v>
      </c>
      <c r="D129" s="120" t="s">
        <v>196</v>
      </c>
      <c r="E129" s="122">
        <f>SUM(E130)</f>
        <v>10000</v>
      </c>
      <c r="F129" s="287">
        <f>SUM(F130)</f>
        <v>10000</v>
      </c>
      <c r="G129" s="287">
        <v>10000</v>
      </c>
      <c r="H129" s="287">
        <v>10000</v>
      </c>
      <c r="I129" s="329">
        <f>AVERAGE(G129/F129*100)</f>
        <v>100</v>
      </c>
      <c r="J129" s="329">
        <f>AVERAGE(H129/G129*100)</f>
        <v>100</v>
      </c>
    </row>
    <row r="130" spans="1:10" s="131" customFormat="1" ht="14.25" x14ac:dyDescent="0.2">
      <c r="A130" s="233" t="s">
        <v>308</v>
      </c>
      <c r="B130" s="124"/>
      <c r="C130" s="121">
        <v>383</v>
      </c>
      <c r="D130" s="120" t="s">
        <v>197</v>
      </c>
      <c r="E130" s="122">
        <f>SUM(E131)</f>
        <v>10000</v>
      </c>
      <c r="F130" s="287">
        <f>SUM(F131)</f>
        <v>10000</v>
      </c>
      <c r="G130" s="287"/>
      <c r="H130" s="287"/>
      <c r="I130" s="329">
        <f>AVERAGE(G130/F130*100)</f>
        <v>0</v>
      </c>
      <c r="J130" s="329"/>
    </row>
    <row r="131" spans="1:10" s="131" customFormat="1" ht="14.25" hidden="1" x14ac:dyDescent="0.2">
      <c r="A131" s="233" t="s">
        <v>308</v>
      </c>
      <c r="B131" s="124">
        <v>47</v>
      </c>
      <c r="C131" s="125">
        <v>3831</v>
      </c>
      <c r="D131" s="124" t="s">
        <v>198</v>
      </c>
      <c r="E131" s="126">
        <v>10000</v>
      </c>
      <c r="F131" s="290">
        <v>10000</v>
      </c>
      <c r="G131" s="290"/>
      <c r="H131" s="290"/>
      <c r="I131" s="329">
        <f>AVERAGE(G131/F131*100)</f>
        <v>0</v>
      </c>
      <c r="J131" s="329"/>
    </row>
    <row r="132" spans="1:10" s="189" customFormat="1" ht="13.5" thickBot="1" x14ac:dyDescent="0.25">
      <c r="A132" s="185"/>
      <c r="B132" s="104"/>
      <c r="C132" s="185"/>
      <c r="D132" s="104"/>
      <c r="E132" s="185"/>
      <c r="F132" s="303"/>
      <c r="G132" s="303"/>
      <c r="H132" s="303"/>
      <c r="I132" s="254"/>
      <c r="J132" s="254"/>
    </row>
    <row r="133" spans="1:10" s="173" customFormat="1" ht="17.25" thickBot="1" x14ac:dyDescent="0.3">
      <c r="A133" s="896" t="s">
        <v>199</v>
      </c>
      <c r="B133" s="897"/>
      <c r="C133" s="897"/>
      <c r="D133" s="898"/>
      <c r="E133" s="107">
        <f>SUM(E135+E144+E167)</f>
        <v>0</v>
      </c>
      <c r="F133" s="293">
        <f>SUM(F135+F144+F167)</f>
        <v>236000</v>
      </c>
      <c r="G133" s="293">
        <f>SUM(G135+G144+G167)</f>
        <v>245500</v>
      </c>
      <c r="H133" s="293">
        <f>SUM(H135+H144+H167)</f>
        <v>246000</v>
      </c>
      <c r="I133" s="245">
        <f>AVERAGE(G133/F133*100)</f>
        <v>104.02542372881356</v>
      </c>
      <c r="J133" s="245">
        <f>AVERAGE(H133/G133*100)</f>
        <v>100.20366598778003</v>
      </c>
    </row>
    <row r="134" spans="1:10" s="192" customFormat="1" ht="17.25" thickBot="1" x14ac:dyDescent="0.3">
      <c r="A134" s="190"/>
      <c r="B134" s="190"/>
      <c r="C134" s="190"/>
      <c r="D134" s="190"/>
      <c r="E134" s="191"/>
      <c r="F134" s="304"/>
      <c r="G134" s="304"/>
      <c r="H134" s="304"/>
      <c r="I134" s="246"/>
      <c r="J134" s="246"/>
    </row>
    <row r="135" spans="1:10" s="111" customFormat="1" ht="16.5" thickBot="1" x14ac:dyDescent="0.3">
      <c r="A135" s="890" t="s">
        <v>200</v>
      </c>
      <c r="B135" s="891"/>
      <c r="C135" s="891"/>
      <c r="D135" s="892"/>
      <c r="E135" s="110">
        <f>SUM(E139)</f>
        <v>0</v>
      </c>
      <c r="F135" s="282">
        <f>SUM(F139)</f>
        <v>15000</v>
      </c>
      <c r="G135" s="282">
        <f>SUM(G139)</f>
        <v>15000</v>
      </c>
      <c r="H135" s="282">
        <f>SUM(H139)</f>
        <v>15000</v>
      </c>
      <c r="I135" s="247">
        <f>AVERAGE(G135/F135*100)</f>
        <v>100</v>
      </c>
      <c r="J135" s="247">
        <f>AVERAGE(H135/G135*100)</f>
        <v>100</v>
      </c>
    </row>
    <row r="136" spans="1:10" s="111" customFormat="1" ht="15.75" x14ac:dyDescent="0.25">
      <c r="A136" s="193"/>
      <c r="B136" s="193"/>
      <c r="C136" s="193"/>
      <c r="D136" s="193"/>
      <c r="E136" s="194"/>
      <c r="F136" s="305"/>
      <c r="G136" s="305"/>
      <c r="H136" s="305"/>
      <c r="I136" s="255"/>
      <c r="J136" s="255"/>
    </row>
    <row r="137" spans="1:10" s="1" customFormat="1" ht="15" customHeight="1" x14ac:dyDescent="0.25">
      <c r="A137" s="123"/>
      <c r="B137" s="123"/>
      <c r="C137" s="123"/>
      <c r="D137" s="180" t="s">
        <v>201</v>
      </c>
      <c r="E137" s="195"/>
      <c r="F137" s="306"/>
      <c r="G137" s="306"/>
      <c r="H137" s="306"/>
      <c r="I137" s="195"/>
      <c r="J137" s="195"/>
    </row>
    <row r="138" spans="1:10" s="1" customFormat="1" ht="15" x14ac:dyDescent="0.25">
      <c r="A138" s="123"/>
      <c r="B138" s="123"/>
      <c r="C138" s="123"/>
      <c r="D138" s="238" t="s">
        <v>202</v>
      </c>
      <c r="E138" s="117"/>
      <c r="F138" s="285"/>
      <c r="G138" s="285"/>
      <c r="H138" s="285"/>
      <c r="I138" s="249"/>
      <c r="J138" s="249"/>
    </row>
    <row r="139" spans="1:10" s="1" customFormat="1" ht="15" x14ac:dyDescent="0.25">
      <c r="A139" s="123"/>
      <c r="B139" s="123"/>
      <c r="C139" s="123"/>
      <c r="D139" s="266" t="s">
        <v>297</v>
      </c>
      <c r="E139" s="196">
        <f t="shared" ref="E139:H141" si="11">SUM(E140)</f>
        <v>0</v>
      </c>
      <c r="F139" s="279">
        <f t="shared" si="11"/>
        <v>15000</v>
      </c>
      <c r="G139" s="279">
        <f t="shared" si="11"/>
        <v>15000</v>
      </c>
      <c r="H139" s="279">
        <f t="shared" si="11"/>
        <v>15000</v>
      </c>
      <c r="I139" s="330">
        <f>AVERAGE(G139/F139*100)</f>
        <v>100</v>
      </c>
      <c r="J139" s="330">
        <f>AVERAGE(H139/G139*100)</f>
        <v>100</v>
      </c>
    </row>
    <row r="140" spans="1:10" s="149" customFormat="1" ht="15" x14ac:dyDescent="0.2">
      <c r="A140" s="124" t="s">
        <v>290</v>
      </c>
      <c r="B140" s="120"/>
      <c r="C140" s="162">
        <v>32</v>
      </c>
      <c r="D140" s="120" t="s">
        <v>178</v>
      </c>
      <c r="E140" s="122">
        <f t="shared" si="11"/>
        <v>0</v>
      </c>
      <c r="F140" s="287">
        <f t="shared" si="11"/>
        <v>15000</v>
      </c>
      <c r="G140" s="287">
        <v>15000</v>
      </c>
      <c r="H140" s="287">
        <v>15000</v>
      </c>
      <c r="I140" s="329">
        <f t="shared" ref="I140:J142" si="12">AVERAGE(G140/F140*100)</f>
        <v>100</v>
      </c>
      <c r="J140" s="329">
        <f t="shared" si="12"/>
        <v>100</v>
      </c>
    </row>
    <row r="141" spans="1:10" s="149" customFormat="1" ht="15" x14ac:dyDescent="0.2">
      <c r="A141" s="124" t="s">
        <v>290</v>
      </c>
      <c r="B141" s="120"/>
      <c r="C141" s="121">
        <v>323</v>
      </c>
      <c r="D141" s="120" t="s">
        <v>56</v>
      </c>
      <c r="E141" s="122">
        <f t="shared" si="11"/>
        <v>0</v>
      </c>
      <c r="F141" s="287">
        <f t="shared" si="11"/>
        <v>15000</v>
      </c>
      <c r="G141" s="287"/>
      <c r="H141" s="287"/>
      <c r="I141" s="329">
        <f t="shared" si="12"/>
        <v>0</v>
      </c>
      <c r="J141" s="329"/>
    </row>
    <row r="142" spans="1:10" s="131" customFormat="1" ht="14.25" hidden="1" x14ac:dyDescent="0.2">
      <c r="A142" s="124" t="s">
        <v>290</v>
      </c>
      <c r="B142" s="124">
        <v>48</v>
      </c>
      <c r="C142" s="125">
        <v>3237</v>
      </c>
      <c r="D142" s="124" t="s">
        <v>62</v>
      </c>
      <c r="E142" s="126">
        <v>0</v>
      </c>
      <c r="F142" s="290">
        <v>15000</v>
      </c>
      <c r="G142" s="290"/>
      <c r="H142" s="290"/>
      <c r="I142" s="329">
        <f t="shared" si="12"/>
        <v>0</v>
      </c>
      <c r="J142" s="329"/>
    </row>
    <row r="143" spans="1:10" s="131" customFormat="1" ht="15" thickBot="1" x14ac:dyDescent="0.25">
      <c r="A143" s="128"/>
      <c r="B143" s="128"/>
      <c r="C143" s="129"/>
      <c r="D143" s="128"/>
      <c r="E143" s="130"/>
      <c r="F143" s="292"/>
      <c r="G143" s="292"/>
      <c r="H143" s="292"/>
      <c r="I143" s="251"/>
      <c r="J143" s="251"/>
    </row>
    <row r="144" spans="1:10" s="1" customFormat="1" ht="15.75" customHeight="1" thickBot="1" x14ac:dyDescent="0.3">
      <c r="A144" s="890" t="s">
        <v>203</v>
      </c>
      <c r="B144" s="891"/>
      <c r="C144" s="891"/>
      <c r="D144" s="892"/>
      <c r="E144" s="110">
        <f>SUM(E148+E155+E162)</f>
        <v>0</v>
      </c>
      <c r="F144" s="282">
        <f>SUM(F148+F155+F162)</f>
        <v>30000</v>
      </c>
      <c r="G144" s="282">
        <f>SUM(G148+G155+G162)</f>
        <v>30500</v>
      </c>
      <c r="H144" s="282">
        <f>SUM(H148+H155+H162)</f>
        <v>31000</v>
      </c>
      <c r="I144" s="247">
        <f>AVERAGE(G144/F144*100)</f>
        <v>101.66666666666666</v>
      </c>
      <c r="J144" s="247">
        <f>AVERAGE(H144/G144*100)</f>
        <v>101.63934426229508</v>
      </c>
    </row>
    <row r="145" spans="1:10" s="1" customFormat="1" ht="15.75" customHeight="1" x14ac:dyDescent="0.25">
      <c r="A145" s="193"/>
      <c r="B145" s="193"/>
      <c r="C145" s="193"/>
      <c r="D145" s="193"/>
      <c r="E145" s="194"/>
      <c r="F145" s="305"/>
      <c r="G145" s="305"/>
      <c r="H145" s="305"/>
      <c r="I145" s="246"/>
      <c r="J145" s="246"/>
    </row>
    <row r="146" spans="1:10" s="1" customFormat="1" ht="12.75" customHeight="1" x14ac:dyDescent="0.25">
      <c r="A146" s="123"/>
      <c r="B146" s="123"/>
      <c r="C146" s="123"/>
      <c r="D146" s="180" t="s">
        <v>201</v>
      </c>
      <c r="E146" s="115"/>
      <c r="F146" s="284"/>
      <c r="G146" s="284"/>
      <c r="H146" s="284"/>
      <c r="I146" s="248"/>
      <c r="J146" s="248"/>
    </row>
    <row r="147" spans="1:10" s="1" customFormat="1" ht="12.75" customHeight="1" x14ac:dyDescent="0.25">
      <c r="A147" s="123"/>
      <c r="B147" s="123"/>
      <c r="C147" s="123"/>
      <c r="D147" s="238" t="s">
        <v>195</v>
      </c>
      <c r="E147" s="117"/>
      <c r="F147" s="285"/>
      <c r="G147" s="285"/>
      <c r="H147" s="285"/>
      <c r="I147" s="249"/>
      <c r="J147" s="249"/>
    </row>
    <row r="148" spans="1:10" s="1" customFormat="1" ht="15.75" customHeight="1" x14ac:dyDescent="0.25">
      <c r="A148" s="123"/>
      <c r="B148" s="123"/>
      <c r="C148" s="123"/>
      <c r="D148" s="266" t="s">
        <v>298</v>
      </c>
      <c r="E148" s="196">
        <f t="shared" ref="E148:H149" si="13">SUM(E149)</f>
        <v>0</v>
      </c>
      <c r="F148" s="279">
        <f t="shared" si="13"/>
        <v>2000</v>
      </c>
      <c r="G148" s="279">
        <f t="shared" si="13"/>
        <v>1500</v>
      </c>
      <c r="H148" s="279">
        <f t="shared" si="13"/>
        <v>1000</v>
      </c>
      <c r="I148" s="330">
        <f>AVERAGE(G148/F148*100)</f>
        <v>75</v>
      </c>
      <c r="J148" s="330">
        <f>AVERAGE(H148/G148*100)</f>
        <v>66.666666666666657</v>
      </c>
    </row>
    <row r="149" spans="1:10" s="149" customFormat="1" ht="15" x14ac:dyDescent="0.2">
      <c r="A149" s="124" t="s">
        <v>291</v>
      </c>
      <c r="B149" s="120"/>
      <c r="C149" s="121">
        <v>38</v>
      </c>
      <c r="D149" s="120" t="s">
        <v>196</v>
      </c>
      <c r="E149" s="122">
        <f t="shared" si="13"/>
        <v>0</v>
      </c>
      <c r="F149" s="287">
        <f t="shared" si="13"/>
        <v>2000</v>
      </c>
      <c r="G149" s="287">
        <v>1500</v>
      </c>
      <c r="H149" s="287">
        <v>1000</v>
      </c>
      <c r="I149" s="329">
        <f t="shared" ref="I149:J151" si="14">AVERAGE(G149/F149*100)</f>
        <v>75</v>
      </c>
      <c r="J149" s="329">
        <f t="shared" si="14"/>
        <v>66.666666666666657</v>
      </c>
    </row>
    <row r="150" spans="1:10" s="149" customFormat="1" ht="15" x14ac:dyDescent="0.2">
      <c r="A150" s="124" t="s">
        <v>291</v>
      </c>
      <c r="B150" s="120"/>
      <c r="C150" s="121">
        <v>381</v>
      </c>
      <c r="D150" s="120" t="s">
        <v>37</v>
      </c>
      <c r="E150" s="122">
        <f>SUM(E151)</f>
        <v>0</v>
      </c>
      <c r="F150" s="287">
        <f>SUM(F151)</f>
        <v>2000</v>
      </c>
      <c r="G150" s="287"/>
      <c r="H150" s="287"/>
      <c r="I150" s="329">
        <f t="shared" si="14"/>
        <v>0</v>
      </c>
      <c r="J150" s="329"/>
    </row>
    <row r="151" spans="1:10" s="131" customFormat="1" ht="14.25" hidden="1" x14ac:dyDescent="0.2">
      <c r="A151" s="124" t="s">
        <v>291</v>
      </c>
      <c r="B151" s="124">
        <v>49</v>
      </c>
      <c r="C151" s="125">
        <v>38129</v>
      </c>
      <c r="D151" s="124" t="s">
        <v>204</v>
      </c>
      <c r="E151" s="126">
        <v>0</v>
      </c>
      <c r="F151" s="290">
        <v>2000</v>
      </c>
      <c r="G151" s="290"/>
      <c r="H151" s="290"/>
      <c r="I151" s="329">
        <f t="shared" si="14"/>
        <v>0</v>
      </c>
      <c r="J151" s="329"/>
    </row>
    <row r="152" spans="1:10" s="131" customFormat="1" ht="14.25" x14ac:dyDescent="0.2">
      <c r="A152" s="128"/>
      <c r="B152" s="128"/>
      <c r="C152" s="129"/>
      <c r="D152" s="128"/>
      <c r="E152" s="130"/>
      <c r="F152" s="292"/>
      <c r="G152" s="292"/>
      <c r="H152" s="292"/>
      <c r="I152" s="251"/>
      <c r="J152" s="251"/>
    </row>
    <row r="153" spans="1:10" s="1" customFormat="1" ht="12.75" customHeight="1" x14ac:dyDescent="0.25">
      <c r="A153" s="123"/>
      <c r="B153" s="123"/>
      <c r="C153" s="123"/>
      <c r="D153" s="180" t="s">
        <v>201</v>
      </c>
      <c r="E153" s="115"/>
      <c r="F153" s="284"/>
      <c r="G153" s="284"/>
      <c r="H153" s="284"/>
      <c r="I153" s="248"/>
      <c r="J153" s="248"/>
    </row>
    <row r="154" spans="1:10" s="1" customFormat="1" ht="12.75" customHeight="1" x14ac:dyDescent="0.25">
      <c r="A154" s="123"/>
      <c r="B154" s="123"/>
      <c r="C154" s="123"/>
      <c r="D154" s="238" t="s">
        <v>195</v>
      </c>
      <c r="E154" s="117"/>
      <c r="F154" s="285"/>
      <c r="G154" s="285"/>
      <c r="H154" s="285"/>
      <c r="I154" s="249"/>
      <c r="J154" s="249"/>
    </row>
    <row r="155" spans="1:10" s="1" customFormat="1" ht="15.75" customHeight="1" x14ac:dyDescent="0.25">
      <c r="A155" s="123"/>
      <c r="B155" s="123"/>
      <c r="C155" s="123"/>
      <c r="D155" s="266" t="s">
        <v>299</v>
      </c>
      <c r="E155" s="196">
        <f>SUM(E156)</f>
        <v>0</v>
      </c>
      <c r="F155" s="279">
        <f t="shared" ref="F155:H157" si="15">SUM(F156)</f>
        <v>25000</v>
      </c>
      <c r="G155" s="279">
        <f t="shared" si="15"/>
        <v>25000</v>
      </c>
      <c r="H155" s="279">
        <f t="shared" si="15"/>
        <v>25000</v>
      </c>
      <c r="I155" s="330">
        <f>AVERAGE(G155/F155*100)</f>
        <v>100</v>
      </c>
      <c r="J155" s="330">
        <f>AVERAGE(H155/G155*100)</f>
        <v>100</v>
      </c>
    </row>
    <row r="156" spans="1:10" s="149" customFormat="1" ht="15" x14ac:dyDescent="0.2">
      <c r="A156" s="124" t="s">
        <v>309</v>
      </c>
      <c r="B156" s="120"/>
      <c r="C156" s="121">
        <v>37</v>
      </c>
      <c r="D156" s="120" t="s">
        <v>273</v>
      </c>
      <c r="E156" s="122">
        <f>SUM(E157)</f>
        <v>0</v>
      </c>
      <c r="F156" s="287">
        <f t="shared" si="15"/>
        <v>25000</v>
      </c>
      <c r="G156" s="287">
        <v>25000</v>
      </c>
      <c r="H156" s="287">
        <v>25000</v>
      </c>
      <c r="I156" s="329">
        <f t="shared" ref="I156:J158" si="16">AVERAGE(G156/F156*100)</f>
        <v>100</v>
      </c>
      <c r="J156" s="329">
        <f t="shared" si="16"/>
        <v>100</v>
      </c>
    </row>
    <row r="157" spans="1:10" s="149" customFormat="1" ht="15" x14ac:dyDescent="0.2">
      <c r="A157" s="124" t="s">
        <v>309</v>
      </c>
      <c r="B157" s="120"/>
      <c r="C157" s="121">
        <v>372</v>
      </c>
      <c r="D157" s="120" t="s">
        <v>274</v>
      </c>
      <c r="E157" s="122">
        <f>SUM(E158)</f>
        <v>0</v>
      </c>
      <c r="F157" s="287">
        <f t="shared" si="15"/>
        <v>25000</v>
      </c>
      <c r="G157" s="287"/>
      <c r="H157" s="287"/>
      <c r="I157" s="329">
        <f t="shared" si="16"/>
        <v>0</v>
      </c>
      <c r="J157" s="329"/>
    </row>
    <row r="158" spans="1:10" s="131" customFormat="1" ht="14.25" hidden="1" x14ac:dyDescent="0.2">
      <c r="A158" s="124" t="s">
        <v>309</v>
      </c>
      <c r="B158" s="124">
        <v>50</v>
      </c>
      <c r="C158" s="125">
        <v>3721</v>
      </c>
      <c r="D158" s="124" t="s">
        <v>273</v>
      </c>
      <c r="E158" s="126">
        <v>0</v>
      </c>
      <c r="F158" s="290">
        <v>25000</v>
      </c>
      <c r="G158" s="290"/>
      <c r="H158" s="290"/>
      <c r="I158" s="329">
        <f t="shared" si="16"/>
        <v>0</v>
      </c>
      <c r="J158" s="329"/>
    </row>
    <row r="159" spans="1:10" s="131" customFormat="1" ht="14.25" x14ac:dyDescent="0.2">
      <c r="A159" s="128"/>
      <c r="B159" s="128"/>
      <c r="C159" s="129"/>
      <c r="D159" s="128"/>
      <c r="E159" s="130"/>
      <c r="F159" s="292"/>
      <c r="G159" s="292"/>
      <c r="H159" s="292"/>
      <c r="I159" s="251"/>
      <c r="J159" s="251"/>
    </row>
    <row r="160" spans="1:10" s="1" customFormat="1" ht="12.75" customHeight="1" x14ac:dyDescent="0.25">
      <c r="A160" s="123"/>
      <c r="B160" s="123"/>
      <c r="C160" s="123"/>
      <c r="D160" s="180" t="s">
        <v>201</v>
      </c>
      <c r="E160" s="115"/>
      <c r="F160" s="284"/>
      <c r="G160" s="284"/>
      <c r="H160" s="284"/>
      <c r="I160" s="248"/>
      <c r="J160" s="248"/>
    </row>
    <row r="161" spans="1:10" s="1" customFormat="1" ht="12.75" customHeight="1" x14ac:dyDescent="0.25">
      <c r="A161" s="123"/>
      <c r="B161" s="123"/>
      <c r="C161" s="123"/>
      <c r="D161" s="238" t="s">
        <v>195</v>
      </c>
      <c r="E161" s="117"/>
      <c r="F161" s="285"/>
      <c r="G161" s="285"/>
      <c r="H161" s="285"/>
      <c r="I161" s="249"/>
      <c r="J161" s="249"/>
    </row>
    <row r="162" spans="1:10" s="1" customFormat="1" ht="15.75" customHeight="1" x14ac:dyDescent="0.25">
      <c r="A162" s="123"/>
      <c r="B162" s="123"/>
      <c r="C162" s="123"/>
      <c r="D162" s="266" t="s">
        <v>300</v>
      </c>
      <c r="E162" s="196">
        <f t="shared" ref="E162:H164" si="17">SUM(E163)</f>
        <v>0</v>
      </c>
      <c r="F162" s="279">
        <f t="shared" si="17"/>
        <v>3000</v>
      </c>
      <c r="G162" s="279">
        <f t="shared" si="17"/>
        <v>4000</v>
      </c>
      <c r="H162" s="279">
        <f t="shared" si="17"/>
        <v>5000</v>
      </c>
      <c r="I162" s="330">
        <f>AVERAGE(G162/F162*100)</f>
        <v>133.33333333333331</v>
      </c>
      <c r="J162" s="330">
        <f>AVERAGE(H162/G162*100)</f>
        <v>125</v>
      </c>
    </row>
    <row r="163" spans="1:10" s="149" customFormat="1" ht="15" x14ac:dyDescent="0.2">
      <c r="A163" s="124" t="s">
        <v>310</v>
      </c>
      <c r="B163" s="120"/>
      <c r="C163" s="121">
        <v>37</v>
      </c>
      <c r="D163" s="120" t="s">
        <v>273</v>
      </c>
      <c r="E163" s="122">
        <f t="shared" si="17"/>
        <v>0</v>
      </c>
      <c r="F163" s="287">
        <f t="shared" si="17"/>
        <v>3000</v>
      </c>
      <c r="G163" s="287">
        <v>4000</v>
      </c>
      <c r="H163" s="287">
        <v>5000</v>
      </c>
      <c r="I163" s="329">
        <f t="shared" ref="I163:J165" si="18">AVERAGE(G163/F163*100)</f>
        <v>133.33333333333331</v>
      </c>
      <c r="J163" s="329">
        <f t="shared" si="18"/>
        <v>125</v>
      </c>
    </row>
    <row r="164" spans="1:10" s="149" customFormat="1" ht="15" x14ac:dyDescent="0.2">
      <c r="A164" s="124" t="s">
        <v>310</v>
      </c>
      <c r="B164" s="120"/>
      <c r="C164" s="121">
        <v>372</v>
      </c>
      <c r="D164" s="120" t="s">
        <v>274</v>
      </c>
      <c r="E164" s="122">
        <f>SUM(E165)</f>
        <v>0</v>
      </c>
      <c r="F164" s="287">
        <f t="shared" si="17"/>
        <v>3000</v>
      </c>
      <c r="G164" s="287"/>
      <c r="H164" s="287"/>
      <c r="I164" s="329">
        <f t="shared" si="18"/>
        <v>0</v>
      </c>
      <c r="J164" s="329"/>
    </row>
    <row r="165" spans="1:10" s="131" customFormat="1" ht="14.25" hidden="1" x14ac:dyDescent="0.2">
      <c r="A165" s="124" t="s">
        <v>310</v>
      </c>
      <c r="B165" s="124">
        <v>51</v>
      </c>
      <c r="C165" s="125">
        <v>3722</v>
      </c>
      <c r="D165" s="124" t="s">
        <v>79</v>
      </c>
      <c r="E165" s="126">
        <v>0</v>
      </c>
      <c r="F165" s="290">
        <v>3000</v>
      </c>
      <c r="G165" s="290"/>
      <c r="H165" s="290"/>
      <c r="I165" s="329">
        <f t="shared" si="18"/>
        <v>0</v>
      </c>
      <c r="J165" s="329"/>
    </row>
    <row r="166" spans="1:10" s="131" customFormat="1" ht="15" thickBot="1" x14ac:dyDescent="0.25">
      <c r="A166" s="128"/>
      <c r="B166" s="128"/>
      <c r="C166" s="129"/>
      <c r="D166" s="128"/>
      <c r="E166" s="130"/>
      <c r="F166" s="292"/>
      <c r="G166" s="292"/>
      <c r="H166" s="292"/>
      <c r="I166" s="251"/>
      <c r="J166" s="251"/>
    </row>
    <row r="167" spans="1:10" s="1" customFormat="1" ht="15.75" customHeight="1" thickBot="1" x14ac:dyDescent="0.3">
      <c r="A167" s="890" t="s">
        <v>272</v>
      </c>
      <c r="B167" s="891"/>
      <c r="C167" s="891"/>
      <c r="D167" s="892"/>
      <c r="E167" s="110">
        <f>SUM(E171)</f>
        <v>0</v>
      </c>
      <c r="F167" s="282">
        <f>SUM(F171)</f>
        <v>191000</v>
      </c>
      <c r="G167" s="282">
        <f>SUM(G171)</f>
        <v>200000</v>
      </c>
      <c r="H167" s="282">
        <f>SUM(H171)</f>
        <v>200000</v>
      </c>
      <c r="I167" s="247">
        <f>AVERAGE(G167/F167*100)</f>
        <v>104.71204188481676</v>
      </c>
      <c r="J167" s="247">
        <f>AVERAGE(H167/G167*100)</f>
        <v>100</v>
      </c>
    </row>
    <row r="168" spans="1:10" s="1" customFormat="1" ht="15.75" customHeight="1" x14ac:dyDescent="0.25">
      <c r="A168" s="193"/>
      <c r="B168" s="193"/>
      <c r="C168" s="193"/>
      <c r="D168" s="193"/>
      <c r="E168" s="194"/>
      <c r="F168" s="305"/>
      <c r="G168" s="305"/>
      <c r="H168" s="305"/>
      <c r="I168" s="246"/>
      <c r="J168" s="246"/>
    </row>
    <row r="169" spans="1:10" s="1" customFormat="1" ht="12.75" customHeight="1" x14ac:dyDescent="0.25">
      <c r="A169" s="123"/>
      <c r="B169" s="123"/>
      <c r="C169" s="123"/>
      <c r="D169" s="180" t="s">
        <v>201</v>
      </c>
      <c r="E169" s="115"/>
      <c r="F169" s="284"/>
      <c r="G169" s="284"/>
      <c r="H169" s="284"/>
      <c r="I169" s="248"/>
      <c r="J169" s="248"/>
    </row>
    <row r="170" spans="1:10" s="1" customFormat="1" ht="12.75" customHeight="1" x14ac:dyDescent="0.25">
      <c r="A170" s="123"/>
      <c r="B170" s="123"/>
      <c r="C170" s="123"/>
      <c r="D170" s="238" t="s">
        <v>195</v>
      </c>
      <c r="E170" s="117"/>
      <c r="F170" s="285"/>
      <c r="G170" s="285"/>
      <c r="H170" s="285"/>
      <c r="I170" s="249"/>
      <c r="J170" s="249"/>
    </row>
    <row r="171" spans="1:10" s="1" customFormat="1" ht="15.75" customHeight="1" x14ac:dyDescent="0.25">
      <c r="A171" s="123"/>
      <c r="B171" s="123"/>
      <c r="C171" s="123"/>
      <c r="D171" s="266" t="s">
        <v>301</v>
      </c>
      <c r="E171" s="196">
        <f t="shared" ref="E171:H172" si="19">SUM(E172)</f>
        <v>0</v>
      </c>
      <c r="F171" s="279">
        <f t="shared" si="19"/>
        <v>191000</v>
      </c>
      <c r="G171" s="279">
        <f t="shared" si="19"/>
        <v>200000</v>
      </c>
      <c r="H171" s="279">
        <f t="shared" si="19"/>
        <v>200000</v>
      </c>
      <c r="I171" s="330">
        <f>AVERAGE(G171/F171*100)</f>
        <v>104.71204188481676</v>
      </c>
      <c r="J171" s="330">
        <f>AVERAGE(H171/G171*100)</f>
        <v>100</v>
      </c>
    </row>
    <row r="172" spans="1:10" s="149" customFormat="1" ht="15" x14ac:dyDescent="0.2">
      <c r="A172" s="124" t="s">
        <v>311</v>
      </c>
      <c r="B172" s="120"/>
      <c r="C172" s="121">
        <v>37</v>
      </c>
      <c r="D172" s="120" t="s">
        <v>273</v>
      </c>
      <c r="E172" s="122">
        <f t="shared" si="19"/>
        <v>0</v>
      </c>
      <c r="F172" s="287">
        <f t="shared" si="19"/>
        <v>191000</v>
      </c>
      <c r="G172" s="287">
        <v>200000</v>
      </c>
      <c r="H172" s="287">
        <v>200000</v>
      </c>
      <c r="I172" s="329">
        <f t="shared" ref="I172:J174" si="20">AVERAGE(G172/F172*100)</f>
        <v>104.71204188481676</v>
      </c>
      <c r="J172" s="329">
        <f t="shared" si="20"/>
        <v>100</v>
      </c>
    </row>
    <row r="173" spans="1:10" s="149" customFormat="1" ht="15" x14ac:dyDescent="0.2">
      <c r="A173" s="124" t="s">
        <v>311</v>
      </c>
      <c r="B173" s="120"/>
      <c r="C173" s="121">
        <v>372</v>
      </c>
      <c r="D173" s="120" t="s">
        <v>274</v>
      </c>
      <c r="E173" s="122">
        <f>SUM(E174)</f>
        <v>0</v>
      </c>
      <c r="F173" s="287">
        <f>SUM(F174)</f>
        <v>191000</v>
      </c>
      <c r="G173" s="287"/>
      <c r="H173" s="287"/>
      <c r="I173" s="329">
        <f t="shared" si="20"/>
        <v>0</v>
      </c>
      <c r="J173" s="329"/>
    </row>
    <row r="174" spans="1:10" s="131" customFormat="1" ht="14.25" hidden="1" x14ac:dyDescent="0.2">
      <c r="A174" s="124" t="s">
        <v>311</v>
      </c>
      <c r="B174" s="124">
        <v>52</v>
      </c>
      <c r="C174" s="125">
        <v>37215</v>
      </c>
      <c r="D174" s="124" t="s">
        <v>275</v>
      </c>
      <c r="E174" s="126">
        <v>0</v>
      </c>
      <c r="F174" s="290">
        <v>191000</v>
      </c>
      <c r="G174" s="290"/>
      <c r="H174" s="290"/>
      <c r="I174" s="329">
        <f t="shared" si="20"/>
        <v>0</v>
      </c>
      <c r="J174" s="329"/>
    </row>
    <row r="175" spans="1:10" s="131" customFormat="1" ht="15" thickBot="1" x14ac:dyDescent="0.25">
      <c r="A175" s="128"/>
      <c r="B175" s="128"/>
      <c r="C175" s="129"/>
      <c r="D175" s="128"/>
      <c r="E175" s="130"/>
      <c r="F175" s="292"/>
      <c r="G175" s="292"/>
      <c r="H175" s="292"/>
      <c r="I175" s="251"/>
      <c r="J175" s="251"/>
    </row>
    <row r="176" spans="1:10" s="192" customFormat="1" ht="17.25" thickBot="1" x14ac:dyDescent="0.3">
      <c r="A176" s="929" t="s">
        <v>271</v>
      </c>
      <c r="B176" s="930"/>
      <c r="C176" s="930"/>
      <c r="D176" s="931"/>
      <c r="E176" s="197">
        <f>SUM(E178+E199)</f>
        <v>360000</v>
      </c>
      <c r="F176" s="307">
        <f>SUM(F178+F199)</f>
        <v>141000</v>
      </c>
      <c r="G176" s="307">
        <f>SUM(G178+G199)</f>
        <v>149000</v>
      </c>
      <c r="H176" s="307">
        <f>SUM(H178+H199)</f>
        <v>154000</v>
      </c>
      <c r="I176" s="245">
        <f>AVERAGE(G176/F176*100)</f>
        <v>105.67375886524823</v>
      </c>
      <c r="J176" s="245">
        <f>AVERAGE(H176/G176*100)</f>
        <v>103.35570469798658</v>
      </c>
    </row>
    <row r="177" spans="1:10" s="192" customFormat="1" ht="17.25" thickBot="1" x14ac:dyDescent="0.3">
      <c r="A177" s="190"/>
      <c r="B177" s="190"/>
      <c r="C177" s="190"/>
      <c r="D177" s="190"/>
      <c r="E177" s="191"/>
      <c r="F177" s="304"/>
      <c r="G177" s="304"/>
      <c r="H177" s="304"/>
      <c r="I177" s="246"/>
      <c r="J177" s="246"/>
    </row>
    <row r="178" spans="1:10" s="111" customFormat="1" ht="16.5" thickBot="1" x14ac:dyDescent="0.3">
      <c r="A178" s="890" t="s">
        <v>205</v>
      </c>
      <c r="B178" s="891"/>
      <c r="C178" s="891"/>
      <c r="D178" s="892"/>
      <c r="E178" s="110">
        <f>SUM(E183+E194)</f>
        <v>360000</v>
      </c>
      <c r="F178" s="282">
        <f>SUM(F183+F194)</f>
        <v>106000</v>
      </c>
      <c r="G178" s="282">
        <f>SUM(G183+G194)</f>
        <v>99000</v>
      </c>
      <c r="H178" s="282">
        <f>SUM(H183+H194)</f>
        <v>104000</v>
      </c>
      <c r="I178" s="247">
        <f>AVERAGE(G178/F178*100)</f>
        <v>93.396226415094347</v>
      </c>
      <c r="J178" s="247">
        <f>AVERAGE(H178/G178*100)</f>
        <v>105.05050505050507</v>
      </c>
    </row>
    <row r="179" spans="1:10" s="111" customFormat="1" ht="15.75" x14ac:dyDescent="0.25">
      <c r="A179" s="193"/>
      <c r="B179" s="193"/>
      <c r="C179" s="193"/>
      <c r="D179" s="193"/>
      <c r="E179" s="198"/>
      <c r="F179" s="308"/>
      <c r="G179" s="308"/>
      <c r="H179" s="308"/>
      <c r="I179" s="246"/>
      <c r="J179" s="246"/>
    </row>
    <row r="180" spans="1:10" s="1" customFormat="1" ht="15" x14ac:dyDescent="0.25">
      <c r="A180" s="123"/>
      <c r="B180" s="123"/>
      <c r="C180" s="123"/>
      <c r="D180" s="114" t="s">
        <v>206</v>
      </c>
      <c r="E180" s="115"/>
      <c r="F180" s="284"/>
      <c r="G180" s="284"/>
      <c r="H180" s="284"/>
      <c r="I180" s="256"/>
      <c r="J180" s="256"/>
    </row>
    <row r="181" spans="1:10" s="1" customFormat="1" ht="15" customHeight="1" x14ac:dyDescent="0.25">
      <c r="A181" s="123"/>
      <c r="B181" s="123"/>
      <c r="C181" s="123"/>
      <c r="D181" s="238" t="s">
        <v>207</v>
      </c>
      <c r="E181" s="117"/>
      <c r="F181" s="285"/>
      <c r="G181" s="285"/>
      <c r="H181" s="285"/>
      <c r="I181" s="257"/>
      <c r="J181" s="257"/>
    </row>
    <row r="182" spans="1:10" s="1" customFormat="1" ht="15" customHeight="1" x14ac:dyDescent="0.25">
      <c r="A182" s="123"/>
      <c r="B182" s="123"/>
      <c r="C182" s="123"/>
      <c r="D182" s="899" t="s">
        <v>302</v>
      </c>
      <c r="E182" s="117"/>
      <c r="F182" s="285"/>
      <c r="G182" s="285"/>
      <c r="H182" s="285"/>
      <c r="I182" s="258"/>
      <c r="J182" s="258"/>
    </row>
    <row r="183" spans="1:10" s="1" customFormat="1" ht="15.75" customHeight="1" x14ac:dyDescent="0.25">
      <c r="A183" s="175"/>
      <c r="B183" s="175"/>
      <c r="C183" s="175"/>
      <c r="D183" s="900"/>
      <c r="E183" s="196">
        <f>SUM(E184+E188)</f>
        <v>360000</v>
      </c>
      <c r="F183" s="279">
        <f>SUM(F184+F188)</f>
        <v>102000</v>
      </c>
      <c r="G183" s="279">
        <f>SUM(G184+G188)</f>
        <v>95000</v>
      </c>
      <c r="H183" s="279">
        <f>SUM(H184+H188)</f>
        <v>100000</v>
      </c>
      <c r="I183" s="330">
        <f>AVERAGE(G183/F183*100)</f>
        <v>93.137254901960787</v>
      </c>
      <c r="J183" s="330">
        <f>AVERAGE(H183/G183*100)</f>
        <v>105.26315789473684</v>
      </c>
    </row>
    <row r="184" spans="1:10" s="149" customFormat="1" ht="15" x14ac:dyDescent="0.2">
      <c r="A184" s="164" t="s">
        <v>290</v>
      </c>
      <c r="B184" s="120"/>
      <c r="C184" s="162">
        <v>37</v>
      </c>
      <c r="D184" s="163" t="s">
        <v>77</v>
      </c>
      <c r="E184" s="122">
        <f>SUM(E185)</f>
        <v>340000</v>
      </c>
      <c r="F184" s="287">
        <f>SUM(F185)</f>
        <v>87000</v>
      </c>
      <c r="G184" s="287">
        <v>85000</v>
      </c>
      <c r="H184" s="287">
        <v>90000</v>
      </c>
      <c r="I184" s="329">
        <f t="shared" ref="I184:J190" si="21">AVERAGE(G184/F184*100)</f>
        <v>97.701149425287355</v>
      </c>
      <c r="J184" s="329">
        <f t="shared" si="21"/>
        <v>105.88235294117648</v>
      </c>
    </row>
    <row r="185" spans="1:10" s="131" customFormat="1" ht="14.25" x14ac:dyDescent="0.2">
      <c r="A185" s="164" t="s">
        <v>290</v>
      </c>
      <c r="B185" s="120"/>
      <c r="C185" s="162">
        <v>372</v>
      </c>
      <c r="D185" s="163" t="s">
        <v>77</v>
      </c>
      <c r="E185" s="122">
        <f>SUM(E186:E187)</f>
        <v>340000</v>
      </c>
      <c r="F185" s="287">
        <f>SUM(F186:F187)</f>
        <v>87000</v>
      </c>
      <c r="G185" s="287"/>
      <c r="H185" s="287"/>
      <c r="I185" s="329">
        <f t="shared" si="21"/>
        <v>0</v>
      </c>
      <c r="J185" s="329"/>
    </row>
    <row r="186" spans="1:10" s="131" customFormat="1" ht="14.25" hidden="1" x14ac:dyDescent="0.2">
      <c r="A186" s="164" t="s">
        <v>290</v>
      </c>
      <c r="B186" s="124">
        <v>53</v>
      </c>
      <c r="C186" s="164">
        <v>3721</v>
      </c>
      <c r="D186" s="165" t="s">
        <v>78</v>
      </c>
      <c r="E186" s="126">
        <v>320000</v>
      </c>
      <c r="F186" s="290">
        <v>80000</v>
      </c>
      <c r="G186" s="290"/>
      <c r="H186" s="290"/>
      <c r="I186" s="329">
        <f t="shared" si="21"/>
        <v>0</v>
      </c>
      <c r="J186" s="329"/>
    </row>
    <row r="187" spans="1:10" s="131" customFormat="1" ht="14.25" hidden="1" x14ac:dyDescent="0.2">
      <c r="A187" s="164" t="s">
        <v>290</v>
      </c>
      <c r="B187" s="124">
        <v>54</v>
      </c>
      <c r="C187" s="164">
        <v>3722</v>
      </c>
      <c r="D187" s="165" t="s">
        <v>79</v>
      </c>
      <c r="E187" s="126">
        <v>20000</v>
      </c>
      <c r="F187" s="290">
        <v>7000</v>
      </c>
      <c r="G187" s="290"/>
      <c r="H187" s="290"/>
      <c r="I187" s="329">
        <f t="shared" si="21"/>
        <v>0</v>
      </c>
      <c r="J187" s="329"/>
    </row>
    <row r="188" spans="1:10" s="182" customFormat="1" ht="15" x14ac:dyDescent="0.2">
      <c r="A188" s="164" t="s">
        <v>290</v>
      </c>
      <c r="B188" s="162"/>
      <c r="C188" s="121">
        <v>38</v>
      </c>
      <c r="D188" s="163" t="s">
        <v>128</v>
      </c>
      <c r="E188" s="122">
        <f>SUM(E189)</f>
        <v>20000</v>
      </c>
      <c r="F188" s="287">
        <f>SUM(F189)</f>
        <v>15000</v>
      </c>
      <c r="G188" s="287">
        <v>10000</v>
      </c>
      <c r="H188" s="287">
        <v>10000</v>
      </c>
      <c r="I188" s="329">
        <f t="shared" si="21"/>
        <v>66.666666666666657</v>
      </c>
      <c r="J188" s="329">
        <f t="shared" si="21"/>
        <v>100</v>
      </c>
    </row>
    <row r="189" spans="1:10" s="182" customFormat="1" ht="15" x14ac:dyDescent="0.2">
      <c r="A189" s="164" t="s">
        <v>290</v>
      </c>
      <c r="B189" s="162"/>
      <c r="C189" s="121">
        <v>382</v>
      </c>
      <c r="D189" s="163" t="s">
        <v>38</v>
      </c>
      <c r="E189" s="122">
        <f>SUM(E190)</f>
        <v>20000</v>
      </c>
      <c r="F189" s="287">
        <f>SUM(F190)</f>
        <v>15000</v>
      </c>
      <c r="G189" s="287"/>
      <c r="H189" s="287"/>
      <c r="I189" s="329">
        <f t="shared" si="21"/>
        <v>0</v>
      </c>
      <c r="J189" s="329"/>
    </row>
    <row r="190" spans="1:10" s="177" customFormat="1" ht="14.25" hidden="1" x14ac:dyDescent="0.2">
      <c r="A190" s="164" t="s">
        <v>290</v>
      </c>
      <c r="B190" s="232">
        <v>55</v>
      </c>
      <c r="C190" s="125">
        <v>3822</v>
      </c>
      <c r="D190" s="165" t="s">
        <v>88</v>
      </c>
      <c r="E190" s="126">
        <v>20000</v>
      </c>
      <c r="F190" s="290">
        <v>15000</v>
      </c>
      <c r="G190" s="290"/>
      <c r="H190" s="290"/>
      <c r="I190" s="329">
        <f t="shared" si="21"/>
        <v>0</v>
      </c>
      <c r="J190" s="329"/>
    </row>
    <row r="191" spans="1:10" s="189" customFormat="1" x14ac:dyDescent="0.2">
      <c r="A191" s="185"/>
      <c r="B191" s="104"/>
      <c r="C191" s="185"/>
      <c r="D191" s="104"/>
      <c r="E191" s="185"/>
      <c r="F191" s="303"/>
      <c r="G191" s="303"/>
      <c r="H191" s="303"/>
      <c r="I191" s="254"/>
      <c r="J191" s="254"/>
    </row>
    <row r="192" spans="1:10" s="199" customFormat="1" ht="15" x14ac:dyDescent="0.25">
      <c r="B192" s="94"/>
      <c r="C192" s="200"/>
      <c r="D192" s="201" t="s">
        <v>206</v>
      </c>
      <c r="E192" s="115"/>
      <c r="F192" s="284"/>
      <c r="G192" s="284"/>
      <c r="H192" s="284"/>
      <c r="I192" s="256"/>
      <c r="J192" s="256"/>
    </row>
    <row r="193" spans="1:10" s="199" customFormat="1" ht="14.25" x14ac:dyDescent="0.2">
      <c r="B193" s="94"/>
      <c r="C193" s="200"/>
      <c r="D193" s="237" t="s">
        <v>195</v>
      </c>
      <c r="E193" s="202"/>
      <c r="F193" s="309"/>
      <c r="G193" s="309"/>
      <c r="H193" s="309"/>
      <c r="I193" s="257"/>
      <c r="J193" s="257"/>
    </row>
    <row r="194" spans="1:10" s="94" customFormat="1" ht="30" x14ac:dyDescent="0.25">
      <c r="C194" s="200"/>
      <c r="D194" s="271" t="s">
        <v>303</v>
      </c>
      <c r="E194" s="196">
        <f t="shared" ref="E194:H196" si="22">SUM(E195)</f>
        <v>0</v>
      </c>
      <c r="F194" s="279">
        <f t="shared" si="22"/>
        <v>4000</v>
      </c>
      <c r="G194" s="279">
        <f t="shared" si="22"/>
        <v>4000</v>
      </c>
      <c r="H194" s="279">
        <f t="shared" si="22"/>
        <v>4000</v>
      </c>
      <c r="I194" s="331">
        <f>AVERAGE(G194/F194*100)</f>
        <v>100</v>
      </c>
      <c r="J194" s="331">
        <f>AVERAGE(H194/G194*100)</f>
        <v>100</v>
      </c>
    </row>
    <row r="195" spans="1:10" s="182" customFormat="1" ht="15" x14ac:dyDescent="0.2">
      <c r="A195" s="164" t="s">
        <v>304</v>
      </c>
      <c r="B195" s="162"/>
      <c r="C195" s="121">
        <v>37</v>
      </c>
      <c r="D195" s="163" t="s">
        <v>77</v>
      </c>
      <c r="E195" s="122">
        <f t="shared" si="22"/>
        <v>0</v>
      </c>
      <c r="F195" s="287">
        <f t="shared" si="22"/>
        <v>4000</v>
      </c>
      <c r="G195" s="287">
        <v>4000</v>
      </c>
      <c r="H195" s="287">
        <v>4000</v>
      </c>
      <c r="I195" s="329">
        <f t="shared" ref="I195:J197" si="23">AVERAGE(G195/F195*100)</f>
        <v>100</v>
      </c>
      <c r="J195" s="329">
        <f t="shared" si="23"/>
        <v>100</v>
      </c>
    </row>
    <row r="196" spans="1:10" s="182" customFormat="1" ht="15" x14ac:dyDescent="0.2">
      <c r="A196" s="164" t="s">
        <v>304</v>
      </c>
      <c r="B196" s="162"/>
      <c r="C196" s="121">
        <v>372</v>
      </c>
      <c r="D196" s="163" t="s">
        <v>77</v>
      </c>
      <c r="E196" s="122">
        <f t="shared" si="22"/>
        <v>0</v>
      </c>
      <c r="F196" s="287">
        <f t="shared" si="22"/>
        <v>4000</v>
      </c>
      <c r="G196" s="287"/>
      <c r="H196" s="287"/>
      <c r="I196" s="329">
        <f t="shared" si="23"/>
        <v>0</v>
      </c>
      <c r="J196" s="329"/>
    </row>
    <row r="197" spans="1:10" s="177" customFormat="1" ht="14.25" hidden="1" x14ac:dyDescent="0.2">
      <c r="A197" s="164" t="s">
        <v>304</v>
      </c>
      <c r="B197" s="232">
        <v>56</v>
      </c>
      <c r="C197" s="125">
        <v>3721</v>
      </c>
      <c r="D197" s="165" t="s">
        <v>78</v>
      </c>
      <c r="E197" s="126">
        <v>0</v>
      </c>
      <c r="F197" s="290">
        <v>4000</v>
      </c>
      <c r="G197" s="290"/>
      <c r="H197" s="290"/>
      <c r="I197" s="329">
        <f t="shared" si="23"/>
        <v>0</v>
      </c>
      <c r="J197" s="329"/>
    </row>
    <row r="198" spans="1:10" s="177" customFormat="1" ht="15" thickBot="1" x14ac:dyDescent="0.25">
      <c r="A198" s="171"/>
      <c r="B198" s="171"/>
      <c r="C198" s="129"/>
      <c r="D198" s="172"/>
      <c r="E198" s="130"/>
      <c r="F198" s="292"/>
      <c r="G198" s="292"/>
      <c r="H198" s="292"/>
      <c r="I198" s="251"/>
      <c r="J198" s="251"/>
    </row>
    <row r="199" spans="1:10" s="98" customFormat="1" ht="16.5" customHeight="1" thickBot="1" x14ac:dyDescent="0.3">
      <c r="A199" s="902" t="s">
        <v>208</v>
      </c>
      <c r="B199" s="903"/>
      <c r="C199" s="903"/>
      <c r="D199" s="904"/>
      <c r="E199" s="110">
        <f>SUM(E203)</f>
        <v>0</v>
      </c>
      <c r="F199" s="282">
        <f>SUM(F203)</f>
        <v>35000</v>
      </c>
      <c r="G199" s="282">
        <f>SUM(G203)</f>
        <v>50000</v>
      </c>
      <c r="H199" s="282">
        <f>SUM(H203)</f>
        <v>50000</v>
      </c>
      <c r="I199" s="247">
        <f>AVERAGE(G199/F199*100)</f>
        <v>142.85714285714286</v>
      </c>
      <c r="J199" s="247">
        <f>AVERAGE(H199/G199*100)</f>
        <v>100</v>
      </c>
    </row>
    <row r="200" spans="1:10" s="98" customFormat="1" ht="15.75" x14ac:dyDescent="0.25">
      <c r="A200" s="99"/>
      <c r="B200" s="99"/>
      <c r="C200" s="99"/>
      <c r="D200" s="99"/>
      <c r="E200" s="198"/>
      <c r="F200" s="308"/>
      <c r="G200" s="308"/>
      <c r="H200" s="308"/>
      <c r="I200" s="246"/>
      <c r="J200" s="246"/>
    </row>
    <row r="201" spans="1:10" s="199" customFormat="1" ht="14.25" x14ac:dyDescent="0.2">
      <c r="D201" s="201" t="s">
        <v>209</v>
      </c>
      <c r="E201" s="181"/>
      <c r="F201" s="302"/>
      <c r="G201" s="302"/>
      <c r="H201" s="302"/>
      <c r="I201" s="248"/>
      <c r="J201" s="248"/>
    </row>
    <row r="202" spans="1:10" s="199" customFormat="1" x14ac:dyDescent="0.2">
      <c r="D202" s="237" t="s">
        <v>193</v>
      </c>
      <c r="E202" s="203"/>
      <c r="F202" s="310"/>
      <c r="G202" s="310"/>
      <c r="H202" s="310"/>
      <c r="I202" s="249"/>
      <c r="J202" s="249"/>
    </row>
    <row r="203" spans="1:10" s="94" customFormat="1" ht="15" x14ac:dyDescent="0.25">
      <c r="A203" s="199"/>
      <c r="B203" s="199"/>
      <c r="C203" s="199"/>
      <c r="D203" s="271" t="s">
        <v>312</v>
      </c>
      <c r="E203" s="196">
        <f t="shared" ref="E203:H205" si="24">SUM(E204)</f>
        <v>0</v>
      </c>
      <c r="F203" s="279">
        <f t="shared" si="24"/>
        <v>35000</v>
      </c>
      <c r="G203" s="279">
        <f t="shared" si="24"/>
        <v>50000</v>
      </c>
      <c r="H203" s="279">
        <f t="shared" si="24"/>
        <v>50000</v>
      </c>
      <c r="I203" s="331">
        <f>AVERAGE(G203/F203*100)</f>
        <v>142.85714285714286</v>
      </c>
      <c r="J203" s="331">
        <f>AVERAGE(H203/G203*100)</f>
        <v>100</v>
      </c>
    </row>
    <row r="204" spans="1:10" s="149" customFormat="1" ht="15" x14ac:dyDescent="0.2">
      <c r="A204" s="124" t="s">
        <v>291</v>
      </c>
      <c r="B204" s="120"/>
      <c r="C204" s="162">
        <v>32</v>
      </c>
      <c r="D204" s="163" t="s">
        <v>178</v>
      </c>
      <c r="E204" s="122">
        <f t="shared" si="24"/>
        <v>0</v>
      </c>
      <c r="F204" s="287">
        <f t="shared" si="24"/>
        <v>35000</v>
      </c>
      <c r="G204" s="287">
        <v>50000</v>
      </c>
      <c r="H204" s="287">
        <v>50000</v>
      </c>
      <c r="I204" s="329">
        <f t="shared" ref="I204:J206" si="25">AVERAGE(G204/F204*100)</f>
        <v>142.85714285714286</v>
      </c>
      <c r="J204" s="329">
        <f t="shared" si="25"/>
        <v>100</v>
      </c>
    </row>
    <row r="205" spans="1:10" s="149" customFormat="1" ht="15" x14ac:dyDescent="0.2">
      <c r="A205" s="124" t="s">
        <v>291</v>
      </c>
      <c r="B205" s="120"/>
      <c r="C205" s="162">
        <v>323</v>
      </c>
      <c r="D205" s="163" t="s">
        <v>56</v>
      </c>
      <c r="E205" s="122">
        <f t="shared" si="24"/>
        <v>0</v>
      </c>
      <c r="F205" s="287">
        <f t="shared" si="24"/>
        <v>35000</v>
      </c>
      <c r="G205" s="287"/>
      <c r="H205" s="287"/>
      <c r="I205" s="329">
        <f t="shared" si="25"/>
        <v>0</v>
      </c>
      <c r="J205" s="329"/>
    </row>
    <row r="206" spans="1:10" s="177" customFormat="1" ht="14.25" hidden="1" x14ac:dyDescent="0.2">
      <c r="A206" s="124" t="s">
        <v>291</v>
      </c>
      <c r="B206" s="164">
        <v>57</v>
      </c>
      <c r="C206" s="125">
        <v>3234</v>
      </c>
      <c r="D206" s="165" t="s">
        <v>60</v>
      </c>
      <c r="E206" s="126">
        <v>0</v>
      </c>
      <c r="F206" s="290">
        <v>35000</v>
      </c>
      <c r="G206" s="290"/>
      <c r="H206" s="290"/>
      <c r="I206" s="329">
        <f t="shared" si="25"/>
        <v>0</v>
      </c>
      <c r="J206" s="329"/>
    </row>
    <row r="207" spans="1:10" s="177" customFormat="1" ht="15" thickBot="1" x14ac:dyDescent="0.25">
      <c r="A207" s="131"/>
      <c r="C207" s="188"/>
      <c r="D207" s="178"/>
      <c r="E207" s="179"/>
      <c r="F207" s="301"/>
      <c r="G207" s="301"/>
      <c r="H207" s="301"/>
      <c r="I207" s="251"/>
      <c r="J207" s="251"/>
    </row>
    <row r="208" spans="1:10" s="192" customFormat="1" ht="17.25" customHeight="1" thickBot="1" x14ac:dyDescent="0.3">
      <c r="A208" s="905" t="s">
        <v>210</v>
      </c>
      <c r="B208" s="906"/>
      <c r="C208" s="906"/>
      <c r="D208" s="907"/>
      <c r="E208" s="197">
        <f>SUM(E210+E244)</f>
        <v>15000</v>
      </c>
      <c r="F208" s="307">
        <f>SUM(F210+F244)</f>
        <v>140000</v>
      </c>
      <c r="G208" s="307">
        <f>SUM(G210+G244)</f>
        <v>175000</v>
      </c>
      <c r="H208" s="307">
        <f>SUM(H210+H244)</f>
        <v>195000</v>
      </c>
      <c r="I208" s="245">
        <f>AVERAGE(G208/F208*100)</f>
        <v>125</v>
      </c>
      <c r="J208" s="245">
        <f>AVERAGE(H208/G208*100)</f>
        <v>111.42857142857143</v>
      </c>
    </row>
    <row r="209" spans="1:10" s="192" customFormat="1" ht="17.25" thickBot="1" x14ac:dyDescent="0.3">
      <c r="A209" s="204"/>
      <c r="B209" s="204"/>
      <c r="C209" s="204"/>
      <c r="D209" s="204"/>
      <c r="E209" s="191"/>
      <c r="F209" s="304"/>
      <c r="G209" s="304"/>
      <c r="H209" s="304"/>
      <c r="I209" s="246"/>
      <c r="J209" s="246"/>
    </row>
    <row r="210" spans="1:10" s="98" customFormat="1" ht="16.5" customHeight="1" thickBot="1" x14ac:dyDescent="0.3">
      <c r="A210" s="908" t="s">
        <v>211</v>
      </c>
      <c r="B210" s="909"/>
      <c r="C210" s="909"/>
      <c r="D210" s="910"/>
      <c r="E210" s="110">
        <f>SUM(E214+E221+E228+E239)</f>
        <v>5000</v>
      </c>
      <c r="F210" s="282">
        <f>SUM(F214+F221+F228+F239)</f>
        <v>135000</v>
      </c>
      <c r="G210" s="282">
        <f>SUM(G214+G221+G228+G239)</f>
        <v>170000</v>
      </c>
      <c r="H210" s="282">
        <f>SUM(H214+H221+H228+H239)</f>
        <v>190000</v>
      </c>
      <c r="I210" s="247">
        <f>AVERAGE(G210/F210*100)</f>
        <v>125.92592592592592</v>
      </c>
      <c r="J210" s="247">
        <f>AVERAGE(H210/G210*100)</f>
        <v>111.76470588235294</v>
      </c>
    </row>
    <row r="211" spans="1:10" s="98" customFormat="1" ht="15.75" x14ac:dyDescent="0.25">
      <c r="A211" s="205"/>
      <c r="B211" s="205"/>
      <c r="C211" s="205"/>
      <c r="D211" s="205"/>
      <c r="E211" s="198"/>
      <c r="F211" s="308"/>
      <c r="G211" s="308"/>
      <c r="H211" s="308"/>
      <c r="I211" s="246"/>
      <c r="J211" s="246"/>
    </row>
    <row r="212" spans="1:10" ht="15" x14ac:dyDescent="0.25">
      <c r="A212" s="932"/>
      <c r="B212" s="932"/>
      <c r="C212" s="933"/>
      <c r="D212" s="114" t="s">
        <v>212</v>
      </c>
      <c r="E212" s="115"/>
      <c r="F212" s="284"/>
      <c r="G212" s="284"/>
      <c r="H212" s="284"/>
      <c r="I212" s="248"/>
      <c r="J212" s="248"/>
    </row>
    <row r="213" spans="1:10" ht="15" x14ac:dyDescent="0.25">
      <c r="A213" s="932"/>
      <c r="B213" s="932"/>
      <c r="C213" s="933"/>
      <c r="D213" s="238" t="s">
        <v>213</v>
      </c>
      <c r="E213" s="117"/>
      <c r="F213" s="285"/>
      <c r="G213" s="285"/>
      <c r="H213" s="285"/>
      <c r="I213" s="249"/>
      <c r="J213" s="249"/>
    </row>
    <row r="214" spans="1:10" s="1" customFormat="1" ht="15" x14ac:dyDescent="0.25">
      <c r="A214" s="934"/>
      <c r="B214" s="934"/>
      <c r="C214" s="935"/>
      <c r="D214" s="267" t="s">
        <v>313</v>
      </c>
      <c r="E214" s="196">
        <f t="shared" ref="E214:H216" si="26">SUM(E215)</f>
        <v>5000</v>
      </c>
      <c r="F214" s="279">
        <f t="shared" si="26"/>
        <v>100000</v>
      </c>
      <c r="G214" s="279">
        <f t="shared" si="26"/>
        <v>120000</v>
      </c>
      <c r="H214" s="279">
        <f t="shared" si="26"/>
        <v>150000</v>
      </c>
      <c r="I214" s="331">
        <f>AVERAGE(G214/F214*100)</f>
        <v>120</v>
      </c>
      <c r="J214" s="331">
        <f>AVERAGE(H214/G214*100)</f>
        <v>125</v>
      </c>
    </row>
    <row r="215" spans="1:10" s="182" customFormat="1" ht="15" x14ac:dyDescent="0.2">
      <c r="A215" s="150" t="s">
        <v>290</v>
      </c>
      <c r="B215" s="162"/>
      <c r="C215" s="121">
        <v>32</v>
      </c>
      <c r="D215" s="163" t="s">
        <v>178</v>
      </c>
      <c r="E215" s="122">
        <f t="shared" si="26"/>
        <v>5000</v>
      </c>
      <c r="F215" s="287">
        <f t="shared" si="26"/>
        <v>100000</v>
      </c>
      <c r="G215" s="287">
        <v>120000</v>
      </c>
      <c r="H215" s="287">
        <v>150000</v>
      </c>
      <c r="I215" s="329">
        <f t="shared" ref="I215:J217" si="27">AVERAGE(G215/F215*100)</f>
        <v>120</v>
      </c>
      <c r="J215" s="329">
        <f t="shared" si="27"/>
        <v>125</v>
      </c>
    </row>
    <row r="216" spans="1:10" s="182" customFormat="1" ht="15" x14ac:dyDescent="0.2">
      <c r="A216" s="150" t="s">
        <v>290</v>
      </c>
      <c r="B216" s="162"/>
      <c r="C216" s="121">
        <v>323</v>
      </c>
      <c r="D216" s="163" t="s">
        <v>56</v>
      </c>
      <c r="E216" s="122">
        <f t="shared" si="26"/>
        <v>5000</v>
      </c>
      <c r="F216" s="287">
        <f t="shared" si="26"/>
        <v>100000</v>
      </c>
      <c r="G216" s="287"/>
      <c r="H216" s="287"/>
      <c r="I216" s="329">
        <f t="shared" si="27"/>
        <v>0</v>
      </c>
      <c r="J216" s="329"/>
    </row>
    <row r="217" spans="1:10" s="177" customFormat="1" ht="14.25" hidden="1" x14ac:dyDescent="0.2">
      <c r="A217" s="150" t="s">
        <v>290</v>
      </c>
      <c r="B217" s="164">
        <v>58</v>
      </c>
      <c r="C217" s="125">
        <v>3239</v>
      </c>
      <c r="D217" s="165" t="s">
        <v>214</v>
      </c>
      <c r="E217" s="126">
        <v>5000</v>
      </c>
      <c r="F217" s="290">
        <v>100000</v>
      </c>
      <c r="G217" s="290"/>
      <c r="H217" s="290"/>
      <c r="I217" s="329">
        <f t="shared" si="27"/>
        <v>0</v>
      </c>
      <c r="J217" s="329"/>
    </row>
    <row r="218" spans="1:10" s="177" customFormat="1" ht="14.25" x14ac:dyDescent="0.2">
      <c r="A218" s="171"/>
      <c r="B218" s="171"/>
      <c r="C218" s="129"/>
      <c r="D218" s="172"/>
      <c r="E218" s="130"/>
      <c r="F218" s="292"/>
      <c r="G218" s="292"/>
      <c r="H218" s="292"/>
      <c r="I218" s="251"/>
      <c r="J218" s="251"/>
    </row>
    <row r="219" spans="1:10" ht="15" x14ac:dyDescent="0.25">
      <c r="A219" s="127"/>
      <c r="B219" s="1"/>
      <c r="C219" s="206"/>
      <c r="D219" s="201" t="s">
        <v>212</v>
      </c>
      <c r="E219" s="115"/>
      <c r="F219" s="284"/>
      <c r="G219" s="284"/>
      <c r="H219" s="284"/>
      <c r="I219" s="893">
        <v>0</v>
      </c>
      <c r="J219" s="893">
        <v>0</v>
      </c>
    </row>
    <row r="220" spans="1:10" ht="15" x14ac:dyDescent="0.25">
      <c r="A220" s="127"/>
      <c r="B220" s="1"/>
      <c r="C220" s="206"/>
      <c r="D220" s="237" t="s">
        <v>215</v>
      </c>
      <c r="E220" s="117"/>
      <c r="F220" s="285"/>
      <c r="G220" s="285"/>
      <c r="H220" s="285"/>
      <c r="I220" s="894"/>
      <c r="J220" s="894"/>
    </row>
    <row r="221" spans="1:10" s="1" customFormat="1" ht="15" x14ac:dyDescent="0.25">
      <c r="A221" s="123"/>
      <c r="C221" s="206"/>
      <c r="D221" s="271" t="s">
        <v>314</v>
      </c>
      <c r="E221" s="196">
        <f t="shared" ref="E221:H223" si="28">SUM(E222)</f>
        <v>0</v>
      </c>
      <c r="F221" s="279">
        <f t="shared" si="28"/>
        <v>15000</v>
      </c>
      <c r="G221" s="279">
        <f t="shared" si="28"/>
        <v>20000</v>
      </c>
      <c r="H221" s="279">
        <f t="shared" si="28"/>
        <v>20000</v>
      </c>
      <c r="I221" s="895"/>
      <c r="J221" s="895"/>
    </row>
    <row r="222" spans="1:10" s="182" customFormat="1" ht="15" x14ac:dyDescent="0.2">
      <c r="A222" s="164" t="s">
        <v>304</v>
      </c>
      <c r="B222" s="162"/>
      <c r="C222" s="121">
        <v>38</v>
      </c>
      <c r="D222" s="163" t="s">
        <v>128</v>
      </c>
      <c r="E222" s="122">
        <f t="shared" si="28"/>
        <v>0</v>
      </c>
      <c r="F222" s="287">
        <f t="shared" si="28"/>
        <v>15000</v>
      </c>
      <c r="G222" s="287">
        <v>20000</v>
      </c>
      <c r="H222" s="287">
        <v>20000</v>
      </c>
      <c r="I222" s="329">
        <f t="shared" ref="I222:J224" si="29">AVERAGE(G222/F222*100)</f>
        <v>133.33333333333331</v>
      </c>
      <c r="J222" s="329">
        <f t="shared" si="29"/>
        <v>100</v>
      </c>
    </row>
    <row r="223" spans="1:10" s="182" customFormat="1" ht="15" x14ac:dyDescent="0.2">
      <c r="A223" s="164" t="s">
        <v>304</v>
      </c>
      <c r="B223" s="162"/>
      <c r="C223" s="121">
        <v>381</v>
      </c>
      <c r="D223" s="163" t="s">
        <v>37</v>
      </c>
      <c r="E223" s="122">
        <f t="shared" si="28"/>
        <v>0</v>
      </c>
      <c r="F223" s="287">
        <f t="shared" si="28"/>
        <v>15000</v>
      </c>
      <c r="G223" s="287"/>
      <c r="H223" s="287"/>
      <c r="I223" s="329">
        <f t="shared" si="29"/>
        <v>0</v>
      </c>
      <c r="J223" s="329"/>
    </row>
    <row r="224" spans="1:10" s="177" customFormat="1" ht="14.25" hidden="1" x14ac:dyDescent="0.2">
      <c r="A224" s="164" t="s">
        <v>304</v>
      </c>
      <c r="B224" s="164">
        <v>59</v>
      </c>
      <c r="C224" s="125">
        <v>3811</v>
      </c>
      <c r="D224" s="165" t="s">
        <v>277</v>
      </c>
      <c r="E224" s="126">
        <v>0</v>
      </c>
      <c r="F224" s="290">
        <v>15000</v>
      </c>
      <c r="G224" s="290"/>
      <c r="H224" s="290"/>
      <c r="I224" s="329">
        <f t="shared" si="29"/>
        <v>0</v>
      </c>
      <c r="J224" s="329"/>
    </row>
    <row r="225" spans="1:10" s="177" customFormat="1" ht="14.25" x14ac:dyDescent="0.2">
      <c r="A225" s="171"/>
      <c r="B225" s="171"/>
      <c r="C225" s="129"/>
      <c r="D225" s="172"/>
      <c r="E225" s="130"/>
      <c r="F225" s="292"/>
      <c r="G225" s="292"/>
      <c r="H225" s="292"/>
      <c r="I225" s="251"/>
      <c r="J225" s="251"/>
    </row>
    <row r="226" spans="1:10" ht="15" x14ac:dyDescent="0.25">
      <c r="A226" s="127"/>
      <c r="B226" s="1"/>
      <c r="C226" s="206"/>
      <c r="D226" s="201" t="s">
        <v>212</v>
      </c>
      <c r="E226" s="115"/>
      <c r="F226" s="284"/>
      <c r="G226" s="284"/>
      <c r="H226" s="284"/>
      <c r="I226" s="248"/>
      <c r="J226" s="248"/>
    </row>
    <row r="227" spans="1:10" ht="15" x14ac:dyDescent="0.25">
      <c r="A227" s="127"/>
      <c r="B227" s="1"/>
      <c r="C227" s="206"/>
      <c r="D227" s="237" t="s">
        <v>195</v>
      </c>
      <c r="E227" s="117"/>
      <c r="F227" s="285"/>
      <c r="G227" s="285"/>
      <c r="H227" s="285"/>
      <c r="I227" s="249"/>
      <c r="J227" s="249"/>
    </row>
    <row r="228" spans="1:10" s="1" customFormat="1" ht="15" x14ac:dyDescent="0.25">
      <c r="A228" s="123"/>
      <c r="C228" s="206"/>
      <c r="D228" s="272" t="s">
        <v>315</v>
      </c>
      <c r="E228" s="196">
        <f>SUM(E229+E232)</f>
        <v>0</v>
      </c>
      <c r="F228" s="279">
        <f>SUM(F229+F232)</f>
        <v>15000</v>
      </c>
      <c r="G228" s="279">
        <f>SUM(G229+G232)</f>
        <v>25000</v>
      </c>
      <c r="H228" s="279">
        <f>SUM(H229+H232)</f>
        <v>15000</v>
      </c>
      <c r="I228" s="331">
        <f>AVERAGE(G228/F228*100)</f>
        <v>166.66666666666669</v>
      </c>
      <c r="J228" s="331">
        <f>AVERAGE(H228/G228*100)</f>
        <v>60</v>
      </c>
    </row>
    <row r="229" spans="1:10" s="182" customFormat="1" ht="15" x14ac:dyDescent="0.2">
      <c r="A229" s="164" t="s">
        <v>305</v>
      </c>
      <c r="B229" s="162"/>
      <c r="C229" s="162">
        <v>32</v>
      </c>
      <c r="D229" s="163" t="s">
        <v>178</v>
      </c>
      <c r="E229" s="122">
        <f>SUM(E230)</f>
        <v>0</v>
      </c>
      <c r="F229" s="287">
        <f>SUM(F230)</f>
        <v>5000</v>
      </c>
      <c r="G229" s="287">
        <v>5000</v>
      </c>
      <c r="H229" s="287">
        <v>5000</v>
      </c>
      <c r="I229" s="329">
        <f t="shared" ref="I229:J234" si="30">AVERAGE(G229/F229*100)</f>
        <v>100</v>
      </c>
      <c r="J229" s="329">
        <f t="shared" si="30"/>
        <v>100</v>
      </c>
    </row>
    <row r="230" spans="1:10" s="182" customFormat="1" ht="15" x14ac:dyDescent="0.2">
      <c r="A230" s="164" t="s">
        <v>305</v>
      </c>
      <c r="B230" s="162"/>
      <c r="C230" s="162">
        <v>322</v>
      </c>
      <c r="D230" s="163" t="s">
        <v>52</v>
      </c>
      <c r="E230" s="122">
        <f>SUM(E231)</f>
        <v>0</v>
      </c>
      <c r="F230" s="287">
        <f>SUM(F231)</f>
        <v>5000</v>
      </c>
      <c r="G230" s="287"/>
      <c r="H230" s="287"/>
      <c r="I230" s="329">
        <f t="shared" si="30"/>
        <v>0</v>
      </c>
      <c r="J230" s="329"/>
    </row>
    <row r="231" spans="1:10" s="177" customFormat="1" ht="14.25" hidden="1" x14ac:dyDescent="0.2">
      <c r="A231" s="164" t="s">
        <v>305</v>
      </c>
      <c r="B231" s="164">
        <v>60</v>
      </c>
      <c r="C231" s="164">
        <v>3227</v>
      </c>
      <c r="D231" s="165" t="s">
        <v>217</v>
      </c>
      <c r="E231" s="126">
        <v>0</v>
      </c>
      <c r="F231" s="290">
        <v>5000</v>
      </c>
      <c r="G231" s="290"/>
      <c r="H231" s="290"/>
      <c r="I231" s="329">
        <f t="shared" si="30"/>
        <v>0</v>
      </c>
      <c r="J231" s="329"/>
    </row>
    <row r="232" spans="1:10" s="182" customFormat="1" ht="15" x14ac:dyDescent="0.2">
      <c r="A232" s="164" t="s">
        <v>305</v>
      </c>
      <c r="B232" s="162"/>
      <c r="C232" s="162">
        <v>42</v>
      </c>
      <c r="D232" s="163" t="s">
        <v>276</v>
      </c>
      <c r="E232" s="122">
        <f>SUM(E233)</f>
        <v>0</v>
      </c>
      <c r="F232" s="287">
        <f>SUM(F233)</f>
        <v>10000</v>
      </c>
      <c r="G232" s="287">
        <v>20000</v>
      </c>
      <c r="H232" s="287">
        <v>10000</v>
      </c>
      <c r="I232" s="329">
        <f t="shared" si="30"/>
        <v>200</v>
      </c>
      <c r="J232" s="329">
        <f t="shared" si="30"/>
        <v>50</v>
      </c>
    </row>
    <row r="233" spans="1:10" s="182" customFormat="1" ht="15" x14ac:dyDescent="0.2">
      <c r="A233" s="164" t="s">
        <v>305</v>
      </c>
      <c r="B233" s="162"/>
      <c r="C233" s="162">
        <v>422</v>
      </c>
      <c r="D233" s="163" t="s">
        <v>99</v>
      </c>
      <c r="E233" s="122">
        <f>SUM(E234)</f>
        <v>0</v>
      </c>
      <c r="F233" s="287">
        <f>SUM(F234)</f>
        <v>10000</v>
      </c>
      <c r="G233" s="287"/>
      <c r="H233" s="287"/>
      <c r="I233" s="329">
        <f t="shared" si="30"/>
        <v>0</v>
      </c>
      <c r="J233" s="329"/>
    </row>
    <row r="234" spans="1:10" s="177" customFormat="1" ht="14.25" hidden="1" x14ac:dyDescent="0.2">
      <c r="A234" s="164" t="s">
        <v>305</v>
      </c>
      <c r="B234" s="164">
        <v>61</v>
      </c>
      <c r="C234" s="164">
        <v>4223</v>
      </c>
      <c r="D234" s="165" t="s">
        <v>112</v>
      </c>
      <c r="E234" s="126">
        <v>0</v>
      </c>
      <c r="F234" s="290">
        <v>10000</v>
      </c>
      <c r="G234" s="290"/>
      <c r="H234" s="290"/>
      <c r="I234" s="329">
        <f t="shared" si="30"/>
        <v>0</v>
      </c>
      <c r="J234" s="329"/>
    </row>
    <row r="235" spans="1:10" s="189" customFormat="1" x14ac:dyDescent="0.2">
      <c r="A235" s="185"/>
      <c r="B235" s="104"/>
      <c r="C235" s="185"/>
      <c r="D235" s="104"/>
      <c r="E235" s="185"/>
      <c r="F235" s="303"/>
      <c r="G235" s="303"/>
      <c r="H235" s="303"/>
      <c r="I235" s="254"/>
      <c r="J235" s="254"/>
    </row>
    <row r="236" spans="1:10" ht="15" x14ac:dyDescent="0.25">
      <c r="A236" s="127"/>
      <c r="B236" s="1"/>
      <c r="C236" s="206"/>
      <c r="D236" s="201" t="s">
        <v>212</v>
      </c>
      <c r="E236" s="115"/>
      <c r="F236" s="284"/>
      <c r="G236" s="284"/>
      <c r="H236" s="284"/>
      <c r="I236" s="256"/>
      <c r="J236" s="256"/>
    </row>
    <row r="237" spans="1:10" s="135" customFormat="1" ht="14.25" x14ac:dyDescent="0.2">
      <c r="C237" s="207"/>
      <c r="D237" s="237" t="s">
        <v>218</v>
      </c>
      <c r="E237" s="208"/>
      <c r="F237" s="311"/>
      <c r="G237" s="311"/>
      <c r="H237" s="311"/>
      <c r="I237" s="257"/>
      <c r="J237" s="257"/>
    </row>
    <row r="238" spans="1:10" ht="15" x14ac:dyDescent="0.25">
      <c r="A238" s="127"/>
      <c r="B238" s="1"/>
      <c r="C238" s="206"/>
      <c r="D238" s="899" t="s">
        <v>316</v>
      </c>
      <c r="E238" s="117"/>
      <c r="F238" s="285"/>
      <c r="G238" s="285"/>
      <c r="H238" s="285"/>
      <c r="I238" s="257"/>
      <c r="J238" s="257"/>
    </row>
    <row r="239" spans="1:10" s="1" customFormat="1" ht="15" x14ac:dyDescent="0.25">
      <c r="A239" s="123"/>
      <c r="C239" s="206"/>
      <c r="D239" s="900"/>
      <c r="E239" s="196">
        <f t="shared" ref="E239:H240" si="31">SUM(E240)</f>
        <v>0</v>
      </c>
      <c r="F239" s="279">
        <f t="shared" si="31"/>
        <v>5000</v>
      </c>
      <c r="G239" s="279">
        <f t="shared" si="31"/>
        <v>5000</v>
      </c>
      <c r="H239" s="279">
        <f t="shared" si="31"/>
        <v>5000</v>
      </c>
      <c r="I239" s="331">
        <f>AVERAGE(G239/F239*100)</f>
        <v>100</v>
      </c>
      <c r="J239" s="331">
        <f>AVERAGE(H239/G239*100)</f>
        <v>100</v>
      </c>
    </row>
    <row r="240" spans="1:10" s="182" customFormat="1" ht="15" x14ac:dyDescent="0.2">
      <c r="A240" s="164" t="s">
        <v>306</v>
      </c>
      <c r="B240" s="162"/>
      <c r="C240" s="162">
        <v>32</v>
      </c>
      <c r="D240" s="163" t="s">
        <v>178</v>
      </c>
      <c r="E240" s="122">
        <f t="shared" si="31"/>
        <v>0</v>
      </c>
      <c r="F240" s="287">
        <f t="shared" si="31"/>
        <v>5000</v>
      </c>
      <c r="G240" s="287">
        <v>5000</v>
      </c>
      <c r="H240" s="287">
        <v>5000</v>
      </c>
      <c r="I240" s="329">
        <f t="shared" ref="I240:J242" si="32">AVERAGE(G240/F240*100)</f>
        <v>100</v>
      </c>
      <c r="J240" s="329">
        <f t="shared" si="32"/>
        <v>100</v>
      </c>
    </row>
    <row r="241" spans="1:10" s="182" customFormat="1" ht="15" x14ac:dyDescent="0.2">
      <c r="A241" s="164" t="s">
        <v>306</v>
      </c>
      <c r="B241" s="162"/>
      <c r="C241" s="162">
        <v>323</v>
      </c>
      <c r="D241" s="163" t="s">
        <v>117</v>
      </c>
      <c r="E241" s="122">
        <f>SUM(E242:E242)</f>
        <v>0</v>
      </c>
      <c r="F241" s="287">
        <f>SUM(F242)</f>
        <v>5000</v>
      </c>
      <c r="G241" s="287"/>
      <c r="H241" s="287"/>
      <c r="I241" s="329">
        <f t="shared" si="32"/>
        <v>0</v>
      </c>
      <c r="J241" s="329"/>
    </row>
    <row r="242" spans="1:10" s="177" customFormat="1" ht="14.25" hidden="1" x14ac:dyDescent="0.2">
      <c r="A242" s="164" t="s">
        <v>306</v>
      </c>
      <c r="B242" s="164">
        <v>62</v>
      </c>
      <c r="C242" s="164">
        <v>3237</v>
      </c>
      <c r="D242" s="165" t="s">
        <v>219</v>
      </c>
      <c r="E242" s="126">
        <v>0</v>
      </c>
      <c r="F242" s="290">
        <v>5000</v>
      </c>
      <c r="G242" s="290"/>
      <c r="H242" s="290"/>
      <c r="I242" s="329">
        <f t="shared" si="32"/>
        <v>0</v>
      </c>
      <c r="J242" s="329"/>
    </row>
    <row r="243" spans="1:10" s="177" customFormat="1" ht="15" thickBot="1" x14ac:dyDescent="0.25">
      <c r="A243" s="171"/>
      <c r="B243" s="171"/>
      <c r="C243" s="171"/>
      <c r="D243" s="172"/>
      <c r="E243" s="130"/>
      <c r="F243" s="292"/>
      <c r="G243" s="292"/>
      <c r="H243" s="292"/>
      <c r="I243" s="251"/>
      <c r="J243" s="251"/>
    </row>
    <row r="244" spans="1:10" s="98" customFormat="1" ht="16.5" thickBot="1" x14ac:dyDescent="0.3">
      <c r="A244" s="902" t="s">
        <v>220</v>
      </c>
      <c r="B244" s="903"/>
      <c r="C244" s="903"/>
      <c r="D244" s="903"/>
      <c r="E244" s="110">
        <f>SUM(E248)</f>
        <v>10000</v>
      </c>
      <c r="F244" s="282">
        <f>SUM(F248)</f>
        <v>5000</v>
      </c>
      <c r="G244" s="282">
        <f>SUM(G248)</f>
        <v>5000</v>
      </c>
      <c r="H244" s="282">
        <f>SUM(H248)</f>
        <v>5000</v>
      </c>
      <c r="I244" s="247">
        <f>AVERAGE(G244/F244*100)</f>
        <v>100</v>
      </c>
      <c r="J244" s="247">
        <f>AVERAGE(H244/G244*100)</f>
        <v>100</v>
      </c>
    </row>
    <row r="245" spans="1:10" s="98" customFormat="1" ht="15.75" x14ac:dyDescent="0.25">
      <c r="A245" s="99"/>
      <c r="B245" s="99"/>
      <c r="C245" s="99"/>
      <c r="D245" s="99"/>
      <c r="E245" s="198"/>
      <c r="F245" s="308"/>
      <c r="G245" s="308"/>
      <c r="H245" s="308"/>
      <c r="I245" s="246"/>
      <c r="J245" s="246"/>
    </row>
    <row r="246" spans="1:10" ht="15" x14ac:dyDescent="0.25">
      <c r="B246" s="1"/>
      <c r="C246" s="206"/>
      <c r="D246" s="201" t="s">
        <v>221</v>
      </c>
      <c r="E246" s="115"/>
      <c r="F246" s="284"/>
      <c r="G246" s="284"/>
      <c r="H246" s="284"/>
      <c r="I246" s="256"/>
      <c r="J246" s="256"/>
    </row>
    <row r="247" spans="1:10" ht="14.25" customHeight="1" x14ac:dyDescent="0.25">
      <c r="B247" s="1"/>
      <c r="C247" s="206"/>
      <c r="D247" s="237" t="s">
        <v>215</v>
      </c>
      <c r="E247" s="117"/>
      <c r="F247" s="285"/>
      <c r="G247" s="285"/>
      <c r="H247" s="285"/>
      <c r="I247" s="257"/>
      <c r="J247" s="257"/>
    </row>
    <row r="248" spans="1:10" s="1" customFormat="1" ht="15" x14ac:dyDescent="0.25">
      <c r="C248" s="206"/>
      <c r="D248" s="271" t="s">
        <v>317</v>
      </c>
      <c r="E248" s="196">
        <f t="shared" ref="E248:H250" si="33">SUM(E249)</f>
        <v>10000</v>
      </c>
      <c r="F248" s="279">
        <f t="shared" si="33"/>
        <v>5000</v>
      </c>
      <c r="G248" s="279">
        <f t="shared" si="33"/>
        <v>5000</v>
      </c>
      <c r="H248" s="279">
        <f t="shared" si="33"/>
        <v>5000</v>
      </c>
      <c r="I248" s="331">
        <f>AVERAGE(G248/F248*100)</f>
        <v>100</v>
      </c>
      <c r="J248" s="331">
        <f>AVERAGE(H248/G248*100)</f>
        <v>100</v>
      </c>
    </row>
    <row r="249" spans="1:10" s="182" customFormat="1" ht="15" x14ac:dyDescent="0.2">
      <c r="A249" s="124" t="s">
        <v>291</v>
      </c>
      <c r="B249" s="162"/>
      <c r="C249" s="121">
        <v>36</v>
      </c>
      <c r="D249" s="163" t="s">
        <v>216</v>
      </c>
      <c r="E249" s="122">
        <f t="shared" si="33"/>
        <v>10000</v>
      </c>
      <c r="F249" s="287">
        <f t="shared" si="33"/>
        <v>5000</v>
      </c>
      <c r="G249" s="287">
        <v>5000</v>
      </c>
      <c r="H249" s="287">
        <v>5000</v>
      </c>
      <c r="I249" s="329">
        <f t="shared" ref="I249:J251" si="34">AVERAGE(G249/F249*100)</f>
        <v>100</v>
      </c>
      <c r="J249" s="329">
        <f t="shared" si="34"/>
        <v>100</v>
      </c>
    </row>
    <row r="250" spans="1:10" s="182" customFormat="1" ht="15" x14ac:dyDescent="0.2">
      <c r="A250" s="124" t="s">
        <v>291</v>
      </c>
      <c r="B250" s="162"/>
      <c r="C250" s="121">
        <v>363</v>
      </c>
      <c r="D250" s="163" t="s">
        <v>137</v>
      </c>
      <c r="E250" s="122">
        <f t="shared" si="33"/>
        <v>10000</v>
      </c>
      <c r="F250" s="287">
        <f t="shared" si="33"/>
        <v>5000</v>
      </c>
      <c r="G250" s="287"/>
      <c r="H250" s="287"/>
      <c r="I250" s="329">
        <f t="shared" si="34"/>
        <v>0</v>
      </c>
      <c r="J250" s="329"/>
    </row>
    <row r="251" spans="1:10" s="177" customFormat="1" ht="14.25" hidden="1" x14ac:dyDescent="0.2">
      <c r="A251" s="124" t="s">
        <v>291</v>
      </c>
      <c r="B251" s="164">
        <v>63</v>
      </c>
      <c r="C251" s="125">
        <v>3632</v>
      </c>
      <c r="D251" s="165" t="s">
        <v>222</v>
      </c>
      <c r="E251" s="126">
        <v>10000</v>
      </c>
      <c r="F251" s="290">
        <v>5000</v>
      </c>
      <c r="G251" s="290"/>
      <c r="H251" s="290"/>
      <c r="I251" s="329">
        <f t="shared" si="34"/>
        <v>0</v>
      </c>
      <c r="J251" s="329"/>
    </row>
    <row r="252" spans="1:10" s="177" customFormat="1" ht="15" thickBot="1" x14ac:dyDescent="0.25">
      <c r="A252" s="171"/>
      <c r="B252" s="171"/>
      <c r="C252" s="129"/>
      <c r="D252" s="172"/>
      <c r="E252" s="130"/>
      <c r="F252" s="292"/>
      <c r="G252" s="292"/>
      <c r="H252" s="292"/>
      <c r="I252" s="251"/>
      <c r="J252" s="251"/>
    </row>
    <row r="253" spans="1:10" s="209" customFormat="1" ht="17.25" thickBot="1" x14ac:dyDescent="0.3">
      <c r="A253" s="915" t="s">
        <v>279</v>
      </c>
      <c r="B253" s="916"/>
      <c r="C253" s="916"/>
      <c r="D253" s="916"/>
      <c r="E253" s="197">
        <f>SUM(E255+E267+E302+E313)</f>
        <v>381000</v>
      </c>
      <c r="F253" s="307">
        <f>SUM(F255+F267+F302+F313)</f>
        <v>480000</v>
      </c>
      <c r="G253" s="307">
        <f>SUM(G255+G267+G302+G313)</f>
        <v>380000</v>
      </c>
      <c r="H253" s="307">
        <f>SUM(H255+H267+H302+H313)</f>
        <v>375000</v>
      </c>
      <c r="I253" s="245">
        <f>AVERAGE(G253/F253*100)</f>
        <v>79.166666666666657</v>
      </c>
      <c r="J253" s="245">
        <f>AVERAGE(H253/G253*100)</f>
        <v>98.68421052631578</v>
      </c>
    </row>
    <row r="254" spans="1:10" ht="15.75" thickBot="1" x14ac:dyDescent="0.3">
      <c r="A254" s="127"/>
      <c r="B254" s="104"/>
      <c r="C254" s="185"/>
      <c r="D254" s="210"/>
      <c r="E254" s="194"/>
      <c r="F254" s="305"/>
      <c r="G254" s="305"/>
      <c r="H254" s="305"/>
      <c r="I254" s="246"/>
      <c r="J254" s="246"/>
    </row>
    <row r="255" spans="1:10" s="98" customFormat="1" ht="16.5" thickBot="1" x14ac:dyDescent="0.3">
      <c r="A255" s="902" t="s">
        <v>223</v>
      </c>
      <c r="B255" s="903"/>
      <c r="C255" s="903"/>
      <c r="D255" s="903"/>
      <c r="E255" s="110">
        <f>SUM(E259)</f>
        <v>115000</v>
      </c>
      <c r="F255" s="282">
        <f>SUM(F259)</f>
        <v>110000</v>
      </c>
      <c r="G255" s="282">
        <f>SUM(G259)</f>
        <v>120000</v>
      </c>
      <c r="H255" s="282">
        <f>SUM(H259)</f>
        <v>120000</v>
      </c>
      <c r="I255" s="247">
        <f>AVERAGE(G255/F255*100)</f>
        <v>109.09090909090908</v>
      </c>
      <c r="J255" s="247">
        <f>AVERAGE(H255/G255*100)</f>
        <v>100</v>
      </c>
    </row>
    <row r="256" spans="1:10" ht="15" x14ac:dyDescent="0.25">
      <c r="A256" s="127"/>
      <c r="B256" s="1"/>
      <c r="C256" s="206"/>
      <c r="D256" s="211"/>
      <c r="E256" s="194"/>
      <c r="F256" s="305"/>
      <c r="G256" s="305"/>
      <c r="H256" s="305"/>
      <c r="I256" s="246"/>
      <c r="J256" s="246"/>
    </row>
    <row r="257" spans="1:10" s="1" customFormat="1" ht="15" x14ac:dyDescent="0.25">
      <c r="A257" s="123"/>
      <c r="C257" s="206"/>
      <c r="D257" s="212" t="s">
        <v>232</v>
      </c>
      <c r="E257" s="115"/>
      <c r="F257" s="284"/>
      <c r="G257" s="284"/>
      <c r="H257" s="284"/>
      <c r="I257" s="259"/>
      <c r="J257" s="259"/>
    </row>
    <row r="258" spans="1:10" s="1" customFormat="1" ht="15" x14ac:dyDescent="0.25">
      <c r="A258" s="123"/>
      <c r="C258" s="206"/>
      <c r="D258" s="237" t="s">
        <v>207</v>
      </c>
      <c r="E258" s="117"/>
      <c r="F258" s="312"/>
      <c r="G258" s="285"/>
      <c r="H258" s="285"/>
      <c r="I258" s="260"/>
      <c r="J258" s="260"/>
    </row>
    <row r="259" spans="1:10" s="1" customFormat="1" ht="15" x14ac:dyDescent="0.25">
      <c r="A259" s="123"/>
      <c r="C259" s="206"/>
      <c r="D259" s="272" t="s">
        <v>318</v>
      </c>
      <c r="E259" s="196">
        <f>SUM(E260)</f>
        <v>115000</v>
      </c>
      <c r="F259" s="279">
        <f>SUM(F260)</f>
        <v>110000</v>
      </c>
      <c r="G259" s="279">
        <f>SUM(G260)</f>
        <v>120000</v>
      </c>
      <c r="H259" s="279">
        <f>SUM(H260)</f>
        <v>120000</v>
      </c>
      <c r="I259" s="331">
        <f>AVERAGE(G259/F259*100)</f>
        <v>109.09090909090908</v>
      </c>
      <c r="J259" s="331">
        <f>AVERAGE(H259/G259*100)</f>
        <v>100</v>
      </c>
    </row>
    <row r="260" spans="1:10" s="149" customFormat="1" ht="15" x14ac:dyDescent="0.2">
      <c r="A260" s="150" t="s">
        <v>290</v>
      </c>
      <c r="B260" s="120"/>
      <c r="C260" s="162">
        <v>38</v>
      </c>
      <c r="D260" s="163" t="s">
        <v>80</v>
      </c>
      <c r="E260" s="122">
        <f>SUM(E261+E264)</f>
        <v>115000</v>
      </c>
      <c r="F260" s="287">
        <f>SUM(F261+F264)</f>
        <v>110000</v>
      </c>
      <c r="G260" s="287">
        <v>120000</v>
      </c>
      <c r="H260" s="287">
        <v>120000</v>
      </c>
      <c r="I260" s="329">
        <f t="shared" ref="I260:J265" si="35">AVERAGE(G260/F260*100)</f>
        <v>109.09090909090908</v>
      </c>
      <c r="J260" s="329">
        <f t="shared" si="35"/>
        <v>100</v>
      </c>
    </row>
    <row r="261" spans="1:10" s="131" customFormat="1" ht="14.25" x14ac:dyDescent="0.2">
      <c r="A261" s="150" t="s">
        <v>290</v>
      </c>
      <c r="B261" s="120"/>
      <c r="C261" s="162">
        <v>381</v>
      </c>
      <c r="D261" s="163" t="s">
        <v>37</v>
      </c>
      <c r="E261" s="122">
        <f>SUM(E262:E263)</f>
        <v>105000</v>
      </c>
      <c r="F261" s="287">
        <f>SUM(F262:F263)</f>
        <v>105000</v>
      </c>
      <c r="G261" s="287"/>
      <c r="H261" s="287"/>
      <c r="I261" s="329">
        <f t="shared" si="35"/>
        <v>0</v>
      </c>
      <c r="J261" s="329"/>
    </row>
    <row r="262" spans="1:10" s="131" customFormat="1" ht="14.25" hidden="1" x14ac:dyDescent="0.2">
      <c r="A262" s="150" t="s">
        <v>290</v>
      </c>
      <c r="B262" s="124">
        <v>64</v>
      </c>
      <c r="C262" s="164">
        <v>38115</v>
      </c>
      <c r="D262" s="165" t="s">
        <v>84</v>
      </c>
      <c r="E262" s="126">
        <v>100000</v>
      </c>
      <c r="F262" s="290">
        <v>100000</v>
      </c>
      <c r="G262" s="290"/>
      <c r="H262" s="290"/>
      <c r="I262" s="329">
        <f t="shared" si="35"/>
        <v>0</v>
      </c>
      <c r="J262" s="329"/>
    </row>
    <row r="263" spans="1:10" s="131" customFormat="1" ht="14.25" hidden="1" x14ac:dyDescent="0.2">
      <c r="A263" s="150" t="s">
        <v>290</v>
      </c>
      <c r="B263" s="124">
        <v>65</v>
      </c>
      <c r="C263" s="164">
        <v>3812</v>
      </c>
      <c r="D263" s="165" t="s">
        <v>86</v>
      </c>
      <c r="E263" s="126">
        <v>5000</v>
      </c>
      <c r="F263" s="290">
        <v>5000</v>
      </c>
      <c r="G263" s="290"/>
      <c r="H263" s="290"/>
      <c r="I263" s="329">
        <f t="shared" si="35"/>
        <v>0</v>
      </c>
      <c r="J263" s="329"/>
    </row>
    <row r="264" spans="1:10" s="131" customFormat="1" ht="14.25" x14ac:dyDescent="0.2">
      <c r="A264" s="150" t="s">
        <v>290</v>
      </c>
      <c r="B264" s="120"/>
      <c r="C264" s="162">
        <v>382</v>
      </c>
      <c r="D264" s="163" t="s">
        <v>38</v>
      </c>
      <c r="E264" s="122">
        <f>SUM(E265)</f>
        <v>10000</v>
      </c>
      <c r="F264" s="287">
        <f>SUM(F265)</f>
        <v>5000</v>
      </c>
      <c r="G264" s="287"/>
      <c r="H264" s="287"/>
      <c r="I264" s="329">
        <f t="shared" si="35"/>
        <v>0</v>
      </c>
      <c r="J264" s="329"/>
    </row>
    <row r="265" spans="1:10" s="131" customFormat="1" ht="14.25" hidden="1" x14ac:dyDescent="0.2">
      <c r="A265" s="150" t="s">
        <v>290</v>
      </c>
      <c r="B265" s="124">
        <v>66</v>
      </c>
      <c r="C265" s="164">
        <v>38215</v>
      </c>
      <c r="D265" s="165" t="s">
        <v>121</v>
      </c>
      <c r="E265" s="126">
        <v>10000</v>
      </c>
      <c r="F265" s="290">
        <v>5000</v>
      </c>
      <c r="G265" s="290"/>
      <c r="H265" s="290"/>
      <c r="I265" s="329">
        <f t="shared" si="35"/>
        <v>0</v>
      </c>
      <c r="J265" s="329"/>
    </row>
    <row r="266" spans="1:10" s="131" customFormat="1" ht="15" thickBot="1" x14ac:dyDescent="0.25">
      <c r="A266" s="128"/>
      <c r="B266" s="128"/>
      <c r="C266" s="171"/>
      <c r="D266" s="172"/>
      <c r="E266" s="130"/>
      <c r="F266" s="292"/>
      <c r="G266" s="292"/>
      <c r="H266" s="292"/>
      <c r="I266" s="251"/>
      <c r="J266" s="251"/>
    </row>
    <row r="267" spans="1:10" s="98" customFormat="1" ht="16.5" thickBot="1" x14ac:dyDescent="0.3">
      <c r="A267" s="902" t="s">
        <v>224</v>
      </c>
      <c r="B267" s="903"/>
      <c r="C267" s="903"/>
      <c r="D267" s="903"/>
      <c r="E267" s="110">
        <f>SUM(E271+E283+E290)</f>
        <v>130000</v>
      </c>
      <c r="F267" s="282">
        <f>SUM(F271+F283+F290)</f>
        <v>188000</v>
      </c>
      <c r="G267" s="282">
        <f>SUM(G271+G283+G290)</f>
        <v>100000</v>
      </c>
      <c r="H267" s="282">
        <f>SUM(H271+H283+H290)</f>
        <v>105000</v>
      </c>
      <c r="I267" s="247">
        <f>AVERAGE(G267/F267*100)</f>
        <v>53.191489361702125</v>
      </c>
      <c r="J267" s="247">
        <f>AVERAGE(H267/G267*100)</f>
        <v>105</v>
      </c>
    </row>
    <row r="268" spans="1:10" s="98" customFormat="1" ht="15.75" x14ac:dyDescent="0.25">
      <c r="A268" s="99"/>
      <c r="B268" s="99"/>
      <c r="C268" s="99"/>
      <c r="D268" s="99"/>
      <c r="E268" s="198"/>
      <c r="F268" s="308"/>
      <c r="G268" s="308"/>
      <c r="H268" s="308"/>
      <c r="I268" s="246"/>
      <c r="J268" s="246"/>
    </row>
    <row r="269" spans="1:10" s="1" customFormat="1" ht="15" x14ac:dyDescent="0.25">
      <c r="A269" s="123"/>
      <c r="C269" s="206"/>
      <c r="D269" s="212" t="s">
        <v>225</v>
      </c>
      <c r="E269" s="115"/>
      <c r="F269" s="284"/>
      <c r="G269" s="284"/>
      <c r="H269" s="284"/>
      <c r="I269" s="248"/>
      <c r="J269" s="248"/>
    </row>
    <row r="270" spans="1:10" s="1" customFormat="1" ht="15" x14ac:dyDescent="0.25">
      <c r="A270" s="123"/>
      <c r="C270" s="206"/>
      <c r="D270" s="237" t="s">
        <v>207</v>
      </c>
      <c r="E270" s="117"/>
      <c r="F270" s="285"/>
      <c r="G270" s="285"/>
      <c r="H270" s="285"/>
      <c r="I270" s="249"/>
      <c r="J270" s="249"/>
    </row>
    <row r="271" spans="1:10" s="1" customFormat="1" ht="15" x14ac:dyDescent="0.25">
      <c r="A271" s="123"/>
      <c r="C271" s="206"/>
      <c r="D271" s="272" t="s">
        <v>319</v>
      </c>
      <c r="E271" s="196">
        <f>SUM(E272+E275)</f>
        <v>30000</v>
      </c>
      <c r="F271" s="279">
        <f>SUM(F272+F275)</f>
        <v>60000</v>
      </c>
      <c r="G271" s="279">
        <f>SUM(G272+G275)</f>
        <v>70000</v>
      </c>
      <c r="H271" s="279">
        <f>SUM(H272+H275)</f>
        <v>75000</v>
      </c>
      <c r="I271" s="331">
        <f>AVERAGE(G271/F271*100)</f>
        <v>116.66666666666667</v>
      </c>
      <c r="J271" s="331">
        <f>AVERAGE(H271/G271*100)</f>
        <v>107.14285714285714</v>
      </c>
    </row>
    <row r="272" spans="1:10" s="149" customFormat="1" ht="15" x14ac:dyDescent="0.2">
      <c r="A272" s="124" t="s">
        <v>291</v>
      </c>
      <c r="B272" s="120"/>
      <c r="C272" s="162">
        <v>32</v>
      </c>
      <c r="D272" s="120" t="s">
        <v>178</v>
      </c>
      <c r="E272" s="122">
        <f>SUM(E273)</f>
        <v>0</v>
      </c>
      <c r="F272" s="287">
        <f>SUM(F273)</f>
        <v>10000</v>
      </c>
      <c r="G272" s="287">
        <v>15000</v>
      </c>
      <c r="H272" s="287">
        <v>15000</v>
      </c>
      <c r="I272" s="329">
        <f t="shared" ref="I272:J279" si="36">AVERAGE(G272/F272*100)</f>
        <v>150</v>
      </c>
      <c r="J272" s="329">
        <f t="shared" si="36"/>
        <v>100</v>
      </c>
    </row>
    <row r="273" spans="1:10" s="131" customFormat="1" ht="14.25" x14ac:dyDescent="0.2">
      <c r="A273" s="124" t="s">
        <v>291</v>
      </c>
      <c r="B273" s="120"/>
      <c r="C273" s="162">
        <v>329</v>
      </c>
      <c r="D273" s="120" t="s">
        <v>65</v>
      </c>
      <c r="E273" s="122">
        <f>SUM(E274)</f>
        <v>0</v>
      </c>
      <c r="F273" s="287">
        <f>SUM(F274)</f>
        <v>10000</v>
      </c>
      <c r="G273" s="287"/>
      <c r="H273" s="287"/>
      <c r="I273" s="329">
        <f t="shared" si="36"/>
        <v>0</v>
      </c>
      <c r="J273" s="329"/>
    </row>
    <row r="274" spans="1:10" s="131" customFormat="1" ht="14.25" hidden="1" x14ac:dyDescent="0.2">
      <c r="A274" s="124" t="s">
        <v>291</v>
      </c>
      <c r="B274" s="124">
        <v>67</v>
      </c>
      <c r="C274" s="164">
        <v>3293</v>
      </c>
      <c r="D274" s="124" t="s">
        <v>68</v>
      </c>
      <c r="E274" s="126">
        <v>0</v>
      </c>
      <c r="F274" s="290">
        <v>10000</v>
      </c>
      <c r="G274" s="290"/>
      <c r="H274" s="290"/>
      <c r="I274" s="329">
        <f t="shared" si="36"/>
        <v>0</v>
      </c>
      <c r="J274" s="329"/>
    </row>
    <row r="275" spans="1:10" s="149" customFormat="1" ht="15" x14ac:dyDescent="0.2">
      <c r="A275" s="124" t="s">
        <v>291</v>
      </c>
      <c r="B275" s="120"/>
      <c r="C275" s="162">
        <v>38</v>
      </c>
      <c r="D275" s="163" t="s">
        <v>80</v>
      </c>
      <c r="E275" s="122">
        <f>SUM(E276+E278)</f>
        <v>30000</v>
      </c>
      <c r="F275" s="287">
        <f>SUM(F276+F278)</f>
        <v>50000</v>
      </c>
      <c r="G275" s="287">
        <v>55000</v>
      </c>
      <c r="H275" s="287">
        <v>60000</v>
      </c>
      <c r="I275" s="329">
        <f t="shared" si="36"/>
        <v>110.00000000000001</v>
      </c>
      <c r="J275" s="329">
        <f t="shared" si="36"/>
        <v>109.09090909090908</v>
      </c>
    </row>
    <row r="276" spans="1:10" s="131" customFormat="1" ht="14.25" x14ac:dyDescent="0.2">
      <c r="A276" s="124" t="s">
        <v>291</v>
      </c>
      <c r="B276" s="120"/>
      <c r="C276" s="162">
        <v>381</v>
      </c>
      <c r="D276" s="163" t="s">
        <v>37</v>
      </c>
      <c r="E276" s="122">
        <f>SUM(E277:E277)</f>
        <v>0</v>
      </c>
      <c r="F276" s="287">
        <f>SUM(F277)</f>
        <v>40000</v>
      </c>
      <c r="G276" s="287"/>
      <c r="H276" s="287"/>
      <c r="I276" s="329">
        <f t="shared" si="36"/>
        <v>0</v>
      </c>
      <c r="J276" s="329"/>
    </row>
    <row r="277" spans="1:10" s="131" customFormat="1" ht="14.25" hidden="1" x14ac:dyDescent="0.2">
      <c r="A277" s="124" t="s">
        <v>291</v>
      </c>
      <c r="B277" s="124">
        <v>68</v>
      </c>
      <c r="C277" s="164">
        <v>3811</v>
      </c>
      <c r="D277" s="165" t="s">
        <v>81</v>
      </c>
      <c r="E277" s="126">
        <v>0</v>
      </c>
      <c r="F277" s="290">
        <v>40000</v>
      </c>
      <c r="G277" s="290"/>
      <c r="H277" s="290"/>
      <c r="I277" s="329">
        <f t="shared" si="36"/>
        <v>0</v>
      </c>
      <c r="J277" s="329"/>
    </row>
    <row r="278" spans="1:10" s="131" customFormat="1" ht="14.25" x14ac:dyDescent="0.2">
      <c r="A278" s="124" t="s">
        <v>291</v>
      </c>
      <c r="B278" s="120"/>
      <c r="C278" s="162">
        <v>382</v>
      </c>
      <c r="D278" s="163" t="s">
        <v>38</v>
      </c>
      <c r="E278" s="122">
        <f>SUM(E279:E279)</f>
        <v>30000</v>
      </c>
      <c r="F278" s="287">
        <f>SUM(F279:F279)</f>
        <v>10000</v>
      </c>
      <c r="G278" s="287"/>
      <c r="H278" s="287"/>
      <c r="I278" s="250">
        <f t="shared" si="36"/>
        <v>0</v>
      </c>
      <c r="J278" s="250"/>
    </row>
    <row r="279" spans="1:10" s="131" customFormat="1" ht="14.25" hidden="1" x14ac:dyDescent="0.2">
      <c r="A279" s="124" t="s">
        <v>291</v>
      </c>
      <c r="B279" s="124">
        <v>69</v>
      </c>
      <c r="C279" s="164">
        <v>38219</v>
      </c>
      <c r="D279" s="165" t="s">
        <v>227</v>
      </c>
      <c r="E279" s="126">
        <v>30000</v>
      </c>
      <c r="F279" s="290">
        <v>10000</v>
      </c>
      <c r="G279" s="290"/>
      <c r="H279" s="290"/>
      <c r="I279" s="250">
        <f t="shared" si="36"/>
        <v>0</v>
      </c>
      <c r="J279" s="250"/>
    </row>
    <row r="280" spans="1:10" s="131" customFormat="1" ht="14.25" x14ac:dyDescent="0.2">
      <c r="A280" s="128"/>
      <c r="B280" s="128"/>
      <c r="C280" s="171"/>
      <c r="D280" s="335"/>
      <c r="E280" s="336"/>
      <c r="F280" s="337"/>
      <c r="G280" s="337"/>
      <c r="H280" s="337"/>
      <c r="I280" s="338"/>
      <c r="J280" s="338"/>
    </row>
    <row r="281" spans="1:10" s="131" customFormat="1" ht="15" x14ac:dyDescent="0.25">
      <c r="A281" s="123"/>
      <c r="B281" s="123"/>
      <c r="C281" s="123"/>
      <c r="D281" s="212" t="s">
        <v>225</v>
      </c>
      <c r="E281" s="140"/>
      <c r="F281" s="285"/>
      <c r="G281" s="285"/>
      <c r="H281" s="285"/>
      <c r="I281" s="249"/>
      <c r="J281" s="249"/>
    </row>
    <row r="282" spans="1:10" s="131" customFormat="1" ht="15" x14ac:dyDescent="0.25">
      <c r="A282" s="123"/>
      <c r="B282" s="123"/>
      <c r="C282" s="123"/>
      <c r="D282" s="237" t="s">
        <v>207</v>
      </c>
      <c r="E282" s="140"/>
      <c r="F282" s="285"/>
      <c r="G282" s="285"/>
      <c r="H282" s="285"/>
      <c r="I282" s="249"/>
      <c r="J282" s="249"/>
    </row>
    <row r="283" spans="1:10" s="1" customFormat="1" ht="15" x14ac:dyDescent="0.25">
      <c r="A283" s="175"/>
      <c r="B283" s="175"/>
      <c r="C283" s="175"/>
      <c r="D283" s="271" t="s">
        <v>320</v>
      </c>
      <c r="E283" s="176">
        <f t="shared" ref="E283:H285" si="37">SUM(E284)</f>
        <v>100000</v>
      </c>
      <c r="F283" s="286">
        <f t="shared" si="37"/>
        <v>100000</v>
      </c>
      <c r="G283" s="286">
        <f t="shared" si="37"/>
        <v>0</v>
      </c>
      <c r="H283" s="286">
        <f t="shared" si="37"/>
        <v>0</v>
      </c>
      <c r="I283" s="331">
        <f>AVERAGE(G283/F283*100)</f>
        <v>0</v>
      </c>
      <c r="J283" s="331">
        <v>0</v>
      </c>
    </row>
    <row r="284" spans="1:10" s="1" customFormat="1" x14ac:dyDescent="0.2">
      <c r="A284" s="124" t="s">
        <v>309</v>
      </c>
      <c r="B284" s="120"/>
      <c r="C284" s="162">
        <v>42</v>
      </c>
      <c r="D284" s="163" t="s">
        <v>96</v>
      </c>
      <c r="E284" s="122">
        <f t="shared" si="37"/>
        <v>100000</v>
      </c>
      <c r="F284" s="287">
        <f t="shared" si="37"/>
        <v>100000</v>
      </c>
      <c r="G284" s="287">
        <f t="shared" si="37"/>
        <v>0</v>
      </c>
      <c r="H284" s="287">
        <f t="shared" si="37"/>
        <v>0</v>
      </c>
      <c r="I284" s="329">
        <f>AVERAGE(G284/F284*100)</f>
        <v>0</v>
      </c>
      <c r="J284" s="329"/>
    </row>
    <row r="285" spans="1:10" s="1" customFormat="1" x14ac:dyDescent="0.2">
      <c r="A285" s="124" t="s">
        <v>309</v>
      </c>
      <c r="B285" s="120"/>
      <c r="C285" s="162">
        <v>426</v>
      </c>
      <c r="D285" s="163" t="s">
        <v>117</v>
      </c>
      <c r="E285" s="122">
        <f t="shared" si="37"/>
        <v>100000</v>
      </c>
      <c r="F285" s="287">
        <f t="shared" si="37"/>
        <v>100000</v>
      </c>
      <c r="G285" s="287"/>
      <c r="H285" s="287"/>
      <c r="I285" s="329">
        <f>AVERAGE(G285/F285*100)</f>
        <v>0</v>
      </c>
      <c r="J285" s="329"/>
    </row>
    <row r="286" spans="1:10" s="1" customFormat="1" ht="15" hidden="1" customHeight="1" x14ac:dyDescent="0.2">
      <c r="A286" s="124" t="s">
        <v>309</v>
      </c>
      <c r="B286" s="124">
        <v>70</v>
      </c>
      <c r="C286" s="164">
        <v>4263</v>
      </c>
      <c r="D286" s="165" t="s">
        <v>262</v>
      </c>
      <c r="E286" s="126">
        <v>100000</v>
      </c>
      <c r="F286" s="290">
        <v>100000</v>
      </c>
      <c r="G286" s="290"/>
      <c r="H286" s="290"/>
      <c r="I286" s="329">
        <f>AVERAGE(G286/F286*100)</f>
        <v>0</v>
      </c>
      <c r="J286" s="329"/>
    </row>
    <row r="287" spans="1:10" s="131" customFormat="1" ht="14.25" x14ac:dyDescent="0.2">
      <c r="A287" s="128"/>
      <c r="B287" s="128"/>
      <c r="C287" s="171"/>
      <c r="D287" s="172"/>
      <c r="E287" s="130"/>
      <c r="F287" s="292"/>
      <c r="G287" s="292"/>
      <c r="H287" s="292"/>
      <c r="I287" s="251"/>
      <c r="J287" s="251"/>
    </row>
    <row r="288" spans="1:10" s="1" customFormat="1" ht="15" x14ac:dyDescent="0.25">
      <c r="A288" s="123"/>
      <c r="C288" s="206"/>
      <c r="D288" s="212" t="s">
        <v>225</v>
      </c>
      <c r="E288" s="115"/>
      <c r="F288" s="284"/>
      <c r="G288" s="284"/>
      <c r="H288" s="284"/>
      <c r="I288" s="248"/>
      <c r="J288" s="248"/>
    </row>
    <row r="289" spans="1:10" s="1" customFormat="1" ht="15" x14ac:dyDescent="0.25">
      <c r="A289" s="123"/>
      <c r="C289" s="206"/>
      <c r="D289" s="237" t="s">
        <v>228</v>
      </c>
      <c r="E289" s="117"/>
      <c r="F289" s="285"/>
      <c r="G289" s="285"/>
      <c r="H289" s="285"/>
      <c r="I289" s="249"/>
      <c r="J289" s="249"/>
    </row>
    <row r="290" spans="1:10" s="1" customFormat="1" ht="15" x14ac:dyDescent="0.25">
      <c r="A290" s="123"/>
      <c r="C290" s="206"/>
      <c r="D290" s="271" t="s">
        <v>321</v>
      </c>
      <c r="E290" s="196">
        <f>SUM(E291+E298)</f>
        <v>0</v>
      </c>
      <c r="F290" s="279">
        <f>SUM(F291+F298)</f>
        <v>28000</v>
      </c>
      <c r="G290" s="279">
        <f>SUM(G291+G298)</f>
        <v>30000</v>
      </c>
      <c r="H290" s="279">
        <f>SUM(H291+H298)</f>
        <v>30000</v>
      </c>
      <c r="I290" s="331">
        <f>AVERAGE(G290/F290*100)</f>
        <v>107.14285714285714</v>
      </c>
      <c r="J290" s="331">
        <f>AVERAGE(H290/G290*100)</f>
        <v>100</v>
      </c>
    </row>
    <row r="291" spans="1:10" s="149" customFormat="1" ht="15" x14ac:dyDescent="0.2">
      <c r="A291" s="124" t="s">
        <v>310</v>
      </c>
      <c r="B291" s="120"/>
      <c r="C291" s="162">
        <v>32</v>
      </c>
      <c r="D291" s="163" t="s">
        <v>178</v>
      </c>
      <c r="E291" s="122">
        <f>SUM(E292+E295)</f>
        <v>0</v>
      </c>
      <c r="F291" s="287">
        <f>SUM(F292+F295)</f>
        <v>24000</v>
      </c>
      <c r="G291" s="287">
        <v>25000</v>
      </c>
      <c r="H291" s="287">
        <v>25000</v>
      </c>
      <c r="I291" s="329">
        <f t="shared" ref="I291:J300" si="38">AVERAGE(G291/F291*100)</f>
        <v>104.16666666666667</v>
      </c>
      <c r="J291" s="329">
        <f t="shared" si="38"/>
        <v>100</v>
      </c>
    </row>
    <row r="292" spans="1:10" s="149" customFormat="1" ht="15" x14ac:dyDescent="0.2">
      <c r="A292" s="124" t="s">
        <v>310</v>
      </c>
      <c r="B292" s="120"/>
      <c r="C292" s="162">
        <v>323</v>
      </c>
      <c r="D292" s="163" t="s">
        <v>56</v>
      </c>
      <c r="E292" s="122">
        <f>SUM(E293:E294)</f>
        <v>0</v>
      </c>
      <c r="F292" s="287">
        <f>SUM(F293:F294)</f>
        <v>7000</v>
      </c>
      <c r="G292" s="287"/>
      <c r="H292" s="287"/>
      <c r="I292" s="329">
        <f t="shared" si="38"/>
        <v>0</v>
      </c>
      <c r="J292" s="329"/>
    </row>
    <row r="293" spans="1:10" s="131" customFormat="1" ht="14.25" hidden="1" x14ac:dyDescent="0.2">
      <c r="A293" s="124" t="s">
        <v>310</v>
      </c>
      <c r="B293" s="124">
        <v>71</v>
      </c>
      <c r="C293" s="164">
        <v>3233</v>
      </c>
      <c r="D293" s="165" t="s">
        <v>59</v>
      </c>
      <c r="E293" s="126">
        <v>0</v>
      </c>
      <c r="F293" s="290">
        <v>5000</v>
      </c>
      <c r="G293" s="290"/>
      <c r="H293" s="290"/>
      <c r="I293" s="329">
        <f t="shared" si="38"/>
        <v>0</v>
      </c>
      <c r="J293" s="329"/>
    </row>
    <row r="294" spans="1:10" s="131" customFormat="1" ht="14.25" hidden="1" x14ac:dyDescent="0.2">
      <c r="A294" s="124" t="s">
        <v>310</v>
      </c>
      <c r="B294" s="124">
        <v>72</v>
      </c>
      <c r="C294" s="164">
        <v>3239</v>
      </c>
      <c r="D294" s="165" t="s">
        <v>64</v>
      </c>
      <c r="E294" s="126">
        <v>0</v>
      </c>
      <c r="F294" s="290">
        <v>2000</v>
      </c>
      <c r="G294" s="290"/>
      <c r="H294" s="290"/>
      <c r="I294" s="329">
        <f t="shared" si="38"/>
        <v>0</v>
      </c>
      <c r="J294" s="329"/>
    </row>
    <row r="295" spans="1:10" s="149" customFormat="1" ht="15" x14ac:dyDescent="0.2">
      <c r="A295" s="124" t="s">
        <v>310</v>
      </c>
      <c r="B295" s="120"/>
      <c r="C295" s="162">
        <v>329</v>
      </c>
      <c r="D295" s="163" t="s">
        <v>65</v>
      </c>
      <c r="E295" s="122">
        <f>SUM(E296:E297)</f>
        <v>0</v>
      </c>
      <c r="F295" s="287">
        <f>SUM(F296:F297)</f>
        <v>17000</v>
      </c>
      <c r="G295" s="287"/>
      <c r="H295" s="287"/>
      <c r="I295" s="329">
        <f t="shared" si="38"/>
        <v>0</v>
      </c>
      <c r="J295" s="329"/>
    </row>
    <row r="296" spans="1:10" s="131" customFormat="1" ht="14.25" hidden="1" x14ac:dyDescent="0.2">
      <c r="A296" s="124" t="s">
        <v>310</v>
      </c>
      <c r="B296" s="124">
        <v>73</v>
      </c>
      <c r="C296" s="164">
        <v>3293</v>
      </c>
      <c r="D296" s="165" t="s">
        <v>68</v>
      </c>
      <c r="E296" s="126">
        <v>0</v>
      </c>
      <c r="F296" s="290">
        <v>15000</v>
      </c>
      <c r="G296" s="290"/>
      <c r="H296" s="290"/>
      <c r="I296" s="329">
        <f t="shared" si="38"/>
        <v>0</v>
      </c>
      <c r="J296" s="329"/>
    </row>
    <row r="297" spans="1:10" s="131" customFormat="1" ht="14.25" hidden="1" x14ac:dyDescent="0.2">
      <c r="A297" s="124" t="s">
        <v>310</v>
      </c>
      <c r="B297" s="124">
        <v>74</v>
      </c>
      <c r="C297" s="164">
        <v>3299</v>
      </c>
      <c r="D297" s="165" t="s">
        <v>229</v>
      </c>
      <c r="E297" s="126">
        <v>0</v>
      </c>
      <c r="F297" s="290">
        <v>2000</v>
      </c>
      <c r="G297" s="290"/>
      <c r="H297" s="290"/>
      <c r="I297" s="329">
        <f t="shared" si="38"/>
        <v>0</v>
      </c>
      <c r="J297" s="329"/>
    </row>
    <row r="298" spans="1:10" s="149" customFormat="1" ht="15" x14ac:dyDescent="0.2">
      <c r="A298" s="124" t="s">
        <v>310</v>
      </c>
      <c r="B298" s="120"/>
      <c r="C298" s="162">
        <v>38</v>
      </c>
      <c r="D298" s="163" t="s">
        <v>230</v>
      </c>
      <c r="E298" s="122">
        <f>SUM(E299)</f>
        <v>0</v>
      </c>
      <c r="F298" s="287">
        <f>SUM(F299)</f>
        <v>4000</v>
      </c>
      <c r="G298" s="287">
        <v>5000</v>
      </c>
      <c r="H298" s="287">
        <v>5000</v>
      </c>
      <c r="I298" s="329">
        <f t="shared" si="38"/>
        <v>125</v>
      </c>
      <c r="J298" s="329">
        <f t="shared" si="38"/>
        <v>100</v>
      </c>
    </row>
    <row r="299" spans="1:10" s="131" customFormat="1" ht="14.25" x14ac:dyDescent="0.2">
      <c r="A299" s="124" t="s">
        <v>310</v>
      </c>
      <c r="B299" s="120"/>
      <c r="C299" s="162">
        <v>381</v>
      </c>
      <c r="D299" s="163" t="s">
        <v>37</v>
      </c>
      <c r="E299" s="122">
        <f>SUM(E300)</f>
        <v>0</v>
      </c>
      <c r="F299" s="287">
        <f>SUM(F300)</f>
        <v>4000</v>
      </c>
      <c r="G299" s="287"/>
      <c r="H299" s="287"/>
      <c r="I299" s="329">
        <f t="shared" si="38"/>
        <v>0</v>
      </c>
      <c r="J299" s="329"/>
    </row>
    <row r="300" spans="1:10" s="131" customFormat="1" ht="14.25" hidden="1" x14ac:dyDescent="0.2">
      <c r="A300" s="124" t="s">
        <v>310</v>
      </c>
      <c r="B300" s="124">
        <v>75</v>
      </c>
      <c r="C300" s="164">
        <v>3811</v>
      </c>
      <c r="D300" s="165" t="s">
        <v>85</v>
      </c>
      <c r="E300" s="126">
        <v>0</v>
      </c>
      <c r="F300" s="290">
        <v>4000</v>
      </c>
      <c r="G300" s="290"/>
      <c r="H300" s="290"/>
      <c r="I300" s="329">
        <f t="shared" si="38"/>
        <v>0</v>
      </c>
      <c r="J300" s="329"/>
    </row>
    <row r="301" spans="1:10" s="189" customFormat="1" ht="13.5" thickBot="1" x14ac:dyDescent="0.25">
      <c r="A301" s="185"/>
      <c r="B301" s="104"/>
      <c r="C301" s="185"/>
      <c r="D301" s="104"/>
      <c r="E301" s="185"/>
      <c r="F301" s="303"/>
      <c r="G301" s="303"/>
      <c r="H301" s="303"/>
      <c r="I301" s="254"/>
      <c r="J301" s="254"/>
    </row>
    <row r="302" spans="1:10" s="98" customFormat="1" ht="16.5" thickBot="1" x14ac:dyDescent="0.3">
      <c r="A302" s="913" t="s">
        <v>231</v>
      </c>
      <c r="B302" s="914"/>
      <c r="C302" s="914"/>
      <c r="D302" s="914"/>
      <c r="E302" s="110">
        <f>SUM(E306)</f>
        <v>52000</v>
      </c>
      <c r="F302" s="282">
        <f>SUM(F306)</f>
        <v>102000</v>
      </c>
      <c r="G302" s="282">
        <f>SUM(G306)</f>
        <v>80000</v>
      </c>
      <c r="H302" s="282">
        <f>SUM(H306)</f>
        <v>70000</v>
      </c>
      <c r="I302" s="247">
        <f>AVERAGE(G302/F302*100)</f>
        <v>78.431372549019613</v>
      </c>
      <c r="J302" s="247">
        <f>AVERAGE(H302/G302*100)</f>
        <v>87.5</v>
      </c>
    </row>
    <row r="303" spans="1:10" s="98" customFormat="1" ht="15.75" x14ac:dyDescent="0.25">
      <c r="A303" s="213"/>
      <c r="B303" s="213"/>
      <c r="C303" s="213"/>
      <c r="D303" s="213"/>
      <c r="E303" s="198"/>
      <c r="F303" s="308"/>
      <c r="G303" s="308"/>
      <c r="H303" s="308"/>
      <c r="I303" s="246"/>
      <c r="J303" s="246"/>
    </row>
    <row r="304" spans="1:10" s="1" customFormat="1" ht="15" x14ac:dyDescent="0.25">
      <c r="A304" s="123"/>
      <c r="C304" s="206"/>
      <c r="D304" s="212" t="s">
        <v>232</v>
      </c>
      <c r="E304" s="115"/>
      <c r="F304" s="284"/>
      <c r="G304" s="284"/>
      <c r="H304" s="284"/>
      <c r="I304" s="248"/>
      <c r="J304" s="248"/>
    </row>
    <row r="305" spans="1:10" s="1" customFormat="1" ht="15" x14ac:dyDescent="0.25">
      <c r="A305" s="123"/>
      <c r="C305" s="206"/>
      <c r="D305" s="237" t="s">
        <v>207</v>
      </c>
      <c r="E305" s="117"/>
      <c r="F305" s="285"/>
      <c r="G305" s="285"/>
      <c r="H305" s="285"/>
      <c r="I305" s="249"/>
      <c r="J305" s="249"/>
    </row>
    <row r="306" spans="1:10" s="1" customFormat="1" ht="15" x14ac:dyDescent="0.25">
      <c r="A306" s="123"/>
      <c r="C306" s="206"/>
      <c r="D306" s="272" t="s">
        <v>322</v>
      </c>
      <c r="E306" s="196">
        <f>SUM(E307)</f>
        <v>52000</v>
      </c>
      <c r="F306" s="279">
        <f>SUM(F307)</f>
        <v>102000</v>
      </c>
      <c r="G306" s="279">
        <f>SUM(G307)</f>
        <v>80000</v>
      </c>
      <c r="H306" s="279">
        <f>SUM(H307)</f>
        <v>70000</v>
      </c>
      <c r="I306" s="331">
        <f>AVERAGE(G306/F306*100)</f>
        <v>78.431372549019613</v>
      </c>
      <c r="J306" s="331">
        <f>AVERAGE(H306/G306*100)</f>
        <v>87.5</v>
      </c>
    </row>
    <row r="307" spans="1:10" s="149" customFormat="1" ht="15" x14ac:dyDescent="0.2">
      <c r="A307" s="124" t="s">
        <v>311</v>
      </c>
      <c r="B307" s="120"/>
      <c r="C307" s="162">
        <v>38</v>
      </c>
      <c r="D307" s="163" t="s">
        <v>80</v>
      </c>
      <c r="E307" s="122">
        <f>SUM(E308+E310)</f>
        <v>52000</v>
      </c>
      <c r="F307" s="287">
        <f>SUM(F308+F310)</f>
        <v>102000</v>
      </c>
      <c r="G307" s="287">
        <v>80000</v>
      </c>
      <c r="H307" s="287">
        <v>70000</v>
      </c>
      <c r="I307" s="329">
        <f t="shared" ref="I307:J311" si="39">AVERAGE(G307/F307*100)</f>
        <v>78.431372549019613</v>
      </c>
      <c r="J307" s="329">
        <f t="shared" si="39"/>
        <v>87.5</v>
      </c>
    </row>
    <row r="308" spans="1:10" s="131" customFormat="1" ht="14.25" x14ac:dyDescent="0.2">
      <c r="A308" s="124" t="s">
        <v>311</v>
      </c>
      <c r="B308" s="120"/>
      <c r="C308" s="162">
        <v>381</v>
      </c>
      <c r="D308" s="163" t="s">
        <v>37</v>
      </c>
      <c r="E308" s="122">
        <f>SUM(E309)</f>
        <v>2000</v>
      </c>
      <c r="F308" s="287">
        <f>SUM(F309)</f>
        <v>2000</v>
      </c>
      <c r="G308" s="287"/>
      <c r="H308" s="287"/>
      <c r="I308" s="329">
        <f t="shared" si="39"/>
        <v>0</v>
      </c>
      <c r="J308" s="329"/>
    </row>
    <row r="309" spans="1:10" s="131" customFormat="1" ht="14.25" hidden="1" x14ac:dyDescent="0.2">
      <c r="A309" s="124" t="s">
        <v>311</v>
      </c>
      <c r="B309" s="124">
        <v>76</v>
      </c>
      <c r="C309" s="164">
        <v>38112</v>
      </c>
      <c r="D309" s="165" t="s">
        <v>82</v>
      </c>
      <c r="E309" s="126">
        <v>2000</v>
      </c>
      <c r="F309" s="290">
        <v>2000</v>
      </c>
      <c r="G309" s="290"/>
      <c r="H309" s="290"/>
      <c r="I309" s="329">
        <f t="shared" si="39"/>
        <v>0</v>
      </c>
      <c r="J309" s="329"/>
    </row>
    <row r="310" spans="1:10" s="149" customFormat="1" ht="15" x14ac:dyDescent="0.2">
      <c r="A310" s="124" t="s">
        <v>311</v>
      </c>
      <c r="B310" s="120"/>
      <c r="C310" s="162">
        <v>382</v>
      </c>
      <c r="D310" s="163" t="s">
        <v>38</v>
      </c>
      <c r="E310" s="122">
        <f>SUM(E311)</f>
        <v>50000</v>
      </c>
      <c r="F310" s="287">
        <f>SUM(F311)</f>
        <v>100000</v>
      </c>
      <c r="G310" s="287"/>
      <c r="H310" s="287"/>
      <c r="I310" s="329">
        <f t="shared" si="39"/>
        <v>0</v>
      </c>
      <c r="J310" s="329"/>
    </row>
    <row r="311" spans="1:10" s="131" customFormat="1" ht="14.25" hidden="1" x14ac:dyDescent="0.2">
      <c r="A311" s="124" t="s">
        <v>311</v>
      </c>
      <c r="B311" s="124">
        <v>77</v>
      </c>
      <c r="C311" s="164">
        <v>38212</v>
      </c>
      <c r="D311" s="165" t="s">
        <v>233</v>
      </c>
      <c r="E311" s="126">
        <v>50000</v>
      </c>
      <c r="F311" s="290">
        <v>100000</v>
      </c>
      <c r="G311" s="290"/>
      <c r="H311" s="290"/>
      <c r="I311" s="329">
        <f t="shared" si="39"/>
        <v>0</v>
      </c>
      <c r="J311" s="329"/>
    </row>
    <row r="312" spans="1:10" s="131" customFormat="1" ht="15" thickBot="1" x14ac:dyDescent="0.25">
      <c r="A312" s="128"/>
      <c r="B312" s="128"/>
      <c r="C312" s="171"/>
      <c r="D312" s="172"/>
      <c r="E312" s="130"/>
      <c r="F312" s="292"/>
      <c r="G312" s="292"/>
      <c r="H312" s="292"/>
      <c r="I312" s="251"/>
      <c r="J312" s="251"/>
    </row>
    <row r="313" spans="1:10" s="98" customFormat="1" ht="16.5" thickBot="1" x14ac:dyDescent="0.3">
      <c r="A313" s="913" t="s">
        <v>234</v>
      </c>
      <c r="B313" s="914"/>
      <c r="C313" s="914"/>
      <c r="D313" s="914"/>
      <c r="E313" s="110">
        <f>SUM(E317)</f>
        <v>84000</v>
      </c>
      <c r="F313" s="282">
        <f>SUM(F317)</f>
        <v>80000</v>
      </c>
      <c r="G313" s="282">
        <f>SUM(G317)</f>
        <v>80000</v>
      </c>
      <c r="H313" s="282">
        <f>SUM(H317)</f>
        <v>80000</v>
      </c>
      <c r="I313" s="247">
        <f>AVERAGE(G313/F313*100)</f>
        <v>100</v>
      </c>
      <c r="J313" s="247">
        <f>AVERAGE(H313/G313*100)</f>
        <v>100</v>
      </c>
    </row>
    <row r="314" spans="1:10" s="98" customFormat="1" ht="15.75" x14ac:dyDescent="0.25">
      <c r="A314" s="213"/>
      <c r="B314" s="213"/>
      <c r="C314" s="213"/>
      <c r="D314" s="213"/>
      <c r="E314" s="198"/>
      <c r="F314" s="308"/>
      <c r="G314" s="308"/>
      <c r="H314" s="308"/>
      <c r="I314" s="246"/>
      <c r="J314" s="246"/>
    </row>
    <row r="315" spans="1:10" s="1" customFormat="1" ht="15" x14ac:dyDescent="0.25">
      <c r="C315" s="206"/>
      <c r="D315" s="201" t="s">
        <v>176</v>
      </c>
      <c r="E315" s="115"/>
      <c r="F315" s="284"/>
      <c r="G315" s="284"/>
      <c r="H315" s="284"/>
      <c r="I315" s="256"/>
      <c r="J315" s="256"/>
    </row>
    <row r="316" spans="1:10" s="1" customFormat="1" x14ac:dyDescent="0.2">
      <c r="C316" s="206"/>
      <c r="D316" s="237" t="s">
        <v>195</v>
      </c>
      <c r="E316" s="214"/>
      <c r="F316" s="313"/>
      <c r="G316" s="313"/>
      <c r="H316" s="313"/>
      <c r="I316" s="257"/>
      <c r="J316" s="257"/>
    </row>
    <row r="317" spans="1:10" s="1" customFormat="1" ht="15" x14ac:dyDescent="0.25">
      <c r="B317" s="2"/>
      <c r="C317" s="206"/>
      <c r="D317" s="271" t="s">
        <v>323</v>
      </c>
      <c r="E317" s="196">
        <f>SUM(E318)</f>
        <v>84000</v>
      </c>
      <c r="F317" s="279">
        <f>SUM(F318)</f>
        <v>80000</v>
      </c>
      <c r="G317" s="279">
        <f>SUM(G318)</f>
        <v>80000</v>
      </c>
      <c r="H317" s="279">
        <f>SUM(H318)</f>
        <v>80000</v>
      </c>
      <c r="I317" s="331">
        <f>AVERAGE(G317/F317*100)</f>
        <v>100</v>
      </c>
      <c r="J317" s="331">
        <f>AVERAGE(H317/G317*100)</f>
        <v>100</v>
      </c>
    </row>
    <row r="318" spans="1:10" s="149" customFormat="1" ht="15" x14ac:dyDescent="0.2">
      <c r="A318" s="124" t="s">
        <v>344</v>
      </c>
      <c r="B318" s="120"/>
      <c r="C318" s="162">
        <v>38</v>
      </c>
      <c r="D318" s="163" t="s">
        <v>80</v>
      </c>
      <c r="E318" s="122">
        <f>SUM(E319+E322)</f>
        <v>84000</v>
      </c>
      <c r="F318" s="287">
        <f>SUM(F319+F322)</f>
        <v>80000</v>
      </c>
      <c r="G318" s="287">
        <v>80000</v>
      </c>
      <c r="H318" s="287">
        <v>80000</v>
      </c>
      <c r="I318" s="329">
        <f t="shared" ref="I318:J323" si="40">AVERAGE(G318/F318*100)</f>
        <v>100</v>
      </c>
      <c r="J318" s="329">
        <f t="shared" si="40"/>
        <v>100</v>
      </c>
    </row>
    <row r="319" spans="1:10" s="131" customFormat="1" ht="14.25" x14ac:dyDescent="0.2">
      <c r="A319" s="124" t="s">
        <v>344</v>
      </c>
      <c r="B319" s="120"/>
      <c r="C319" s="162">
        <v>381</v>
      </c>
      <c r="D319" s="163" t="s">
        <v>37</v>
      </c>
      <c r="E319" s="122">
        <f>SUM(E320:E321)</f>
        <v>74000</v>
      </c>
      <c r="F319" s="287">
        <f>SUM(F320:F321)</f>
        <v>75000</v>
      </c>
      <c r="G319" s="287"/>
      <c r="H319" s="287"/>
      <c r="I319" s="329">
        <f t="shared" si="40"/>
        <v>0</v>
      </c>
      <c r="J319" s="329"/>
    </row>
    <row r="320" spans="1:10" s="131" customFormat="1" ht="14.25" hidden="1" x14ac:dyDescent="0.2">
      <c r="A320" s="124" t="s">
        <v>344</v>
      </c>
      <c r="B320" s="124">
        <v>78</v>
      </c>
      <c r="C320" s="164">
        <v>381141</v>
      </c>
      <c r="D320" s="165" t="s">
        <v>226</v>
      </c>
      <c r="E320" s="126">
        <v>70000</v>
      </c>
      <c r="F320" s="290">
        <v>70000</v>
      </c>
      <c r="G320" s="290"/>
      <c r="H320" s="290"/>
      <c r="I320" s="329">
        <f t="shared" si="40"/>
        <v>0</v>
      </c>
      <c r="J320" s="329"/>
    </row>
    <row r="321" spans="1:10" s="131" customFormat="1" ht="14.25" hidden="1" x14ac:dyDescent="0.2">
      <c r="A321" s="124" t="s">
        <v>344</v>
      </c>
      <c r="B321" s="124">
        <v>79</v>
      </c>
      <c r="C321" s="164">
        <v>38119</v>
      </c>
      <c r="D321" s="165" t="s">
        <v>85</v>
      </c>
      <c r="E321" s="126">
        <v>4000</v>
      </c>
      <c r="F321" s="290">
        <v>5000</v>
      </c>
      <c r="G321" s="290"/>
      <c r="H321" s="290"/>
      <c r="I321" s="329">
        <f t="shared" si="40"/>
        <v>0</v>
      </c>
      <c r="J321" s="329"/>
    </row>
    <row r="322" spans="1:10" s="131" customFormat="1" ht="14.25" x14ac:dyDescent="0.2">
      <c r="A322" s="124" t="s">
        <v>344</v>
      </c>
      <c r="B322" s="120"/>
      <c r="C322" s="162">
        <v>382</v>
      </c>
      <c r="D322" s="163" t="s">
        <v>38</v>
      </c>
      <c r="E322" s="122">
        <f>SUM(E323)</f>
        <v>10000</v>
      </c>
      <c r="F322" s="287">
        <f>SUM(F323)</f>
        <v>5000</v>
      </c>
      <c r="G322" s="287"/>
      <c r="H322" s="287"/>
      <c r="I322" s="329">
        <f t="shared" si="40"/>
        <v>0</v>
      </c>
      <c r="J322" s="329"/>
    </row>
    <row r="323" spans="1:10" s="131" customFormat="1" ht="14.25" hidden="1" x14ac:dyDescent="0.2">
      <c r="A323" s="124" t="s">
        <v>344</v>
      </c>
      <c r="B323" s="124">
        <v>80</v>
      </c>
      <c r="C323" s="164">
        <v>38214</v>
      </c>
      <c r="D323" s="165" t="s">
        <v>235</v>
      </c>
      <c r="E323" s="126">
        <v>10000</v>
      </c>
      <c r="F323" s="290">
        <v>5000</v>
      </c>
      <c r="G323" s="290"/>
      <c r="H323" s="290"/>
      <c r="I323" s="329">
        <f t="shared" si="40"/>
        <v>0</v>
      </c>
      <c r="J323" s="329"/>
    </row>
    <row r="324" spans="1:10" s="131" customFormat="1" ht="15" thickBot="1" x14ac:dyDescent="0.25">
      <c r="A324" s="128"/>
      <c r="B324" s="128"/>
      <c r="C324" s="171"/>
      <c r="D324" s="172"/>
      <c r="E324" s="130"/>
      <c r="F324" s="292"/>
      <c r="G324" s="292"/>
      <c r="H324" s="292"/>
      <c r="I324" s="251"/>
      <c r="J324" s="251"/>
    </row>
    <row r="325" spans="1:10" s="209" customFormat="1" ht="17.25" thickBot="1" x14ac:dyDescent="0.3">
      <c r="A325" s="915" t="s">
        <v>236</v>
      </c>
      <c r="B325" s="916"/>
      <c r="C325" s="916"/>
      <c r="D325" s="916"/>
      <c r="E325" s="215">
        <f>SUM(E327)</f>
        <v>0</v>
      </c>
      <c r="F325" s="280">
        <f>SUM(F327)</f>
        <v>10000</v>
      </c>
      <c r="G325" s="280">
        <f>SUM(G327)</f>
        <v>10000</v>
      </c>
      <c r="H325" s="280">
        <f>SUM(H327)</f>
        <v>10000</v>
      </c>
      <c r="I325" s="245">
        <f>AVERAGE(G325/F325*100)</f>
        <v>100</v>
      </c>
      <c r="J325" s="245">
        <f>AVERAGE(H325/G325*100)</f>
        <v>100</v>
      </c>
    </row>
    <row r="326" spans="1:10" s="209" customFormat="1" ht="17.25" thickBot="1" x14ac:dyDescent="0.3">
      <c r="A326" s="216"/>
      <c r="B326" s="216"/>
      <c r="C326" s="216"/>
      <c r="D326" s="216"/>
      <c r="E326" s="191"/>
      <c r="F326" s="304"/>
      <c r="G326" s="304"/>
      <c r="H326" s="304"/>
      <c r="I326" s="246"/>
      <c r="J326" s="246"/>
    </row>
    <row r="327" spans="1:10" s="98" customFormat="1" ht="16.5" thickBot="1" x14ac:dyDescent="0.3">
      <c r="A327" s="902" t="s">
        <v>237</v>
      </c>
      <c r="B327" s="903"/>
      <c r="C327" s="903"/>
      <c r="D327" s="903"/>
      <c r="E327" s="110">
        <f>SUM(E331)</f>
        <v>0</v>
      </c>
      <c r="F327" s="282">
        <f>SUM(F331)</f>
        <v>10000</v>
      </c>
      <c r="G327" s="282">
        <f>SUM(G331)</f>
        <v>10000</v>
      </c>
      <c r="H327" s="282">
        <f>SUM(H331)</f>
        <v>10000</v>
      </c>
      <c r="I327" s="247">
        <f>AVERAGE(G327/F327*100)</f>
        <v>100</v>
      </c>
      <c r="J327" s="247">
        <f>AVERAGE(H327/G327*100)</f>
        <v>100</v>
      </c>
    </row>
    <row r="328" spans="1:10" ht="15" x14ac:dyDescent="0.25">
      <c r="B328" s="1"/>
      <c r="C328" s="206"/>
      <c r="D328" s="211"/>
      <c r="E328" s="194"/>
      <c r="F328" s="305"/>
      <c r="G328" s="305"/>
      <c r="H328" s="305"/>
      <c r="I328" s="246"/>
      <c r="J328" s="246"/>
    </row>
    <row r="329" spans="1:10" s="1" customFormat="1" ht="15" x14ac:dyDescent="0.25">
      <c r="C329" s="206"/>
      <c r="D329" s="201" t="s">
        <v>238</v>
      </c>
      <c r="E329" s="115"/>
      <c r="F329" s="284"/>
      <c r="G329" s="284"/>
      <c r="H329" s="284"/>
      <c r="I329" s="256"/>
      <c r="J329" s="256"/>
    </row>
    <row r="330" spans="1:10" s="1" customFormat="1" ht="14.25" customHeight="1" x14ac:dyDescent="0.25">
      <c r="C330" s="206"/>
      <c r="D330" s="237" t="s">
        <v>193</v>
      </c>
      <c r="E330" s="117"/>
      <c r="F330" s="285"/>
      <c r="G330" s="313"/>
      <c r="H330" s="313"/>
      <c r="I330" s="257"/>
      <c r="J330" s="257"/>
    </row>
    <row r="331" spans="1:10" s="1" customFormat="1" ht="15" x14ac:dyDescent="0.25">
      <c r="C331" s="206"/>
      <c r="D331" s="271" t="s">
        <v>324</v>
      </c>
      <c r="E331" s="196">
        <f t="shared" ref="E331:H333" si="41">SUM(E332)</f>
        <v>0</v>
      </c>
      <c r="F331" s="279">
        <f t="shared" si="41"/>
        <v>10000</v>
      </c>
      <c r="G331" s="279">
        <f t="shared" si="41"/>
        <v>10000</v>
      </c>
      <c r="H331" s="279">
        <f t="shared" si="41"/>
        <v>10000</v>
      </c>
      <c r="I331" s="331">
        <f>AVERAGE(G331/F331*100)</f>
        <v>100</v>
      </c>
      <c r="J331" s="331">
        <f>AVERAGE(H331/G331*100)</f>
        <v>100</v>
      </c>
    </row>
    <row r="332" spans="1:10" s="149" customFormat="1" ht="15" x14ac:dyDescent="0.2">
      <c r="A332" s="150" t="s">
        <v>290</v>
      </c>
      <c r="B332" s="120"/>
      <c r="C332" s="162">
        <v>32</v>
      </c>
      <c r="D332" s="163" t="s">
        <v>178</v>
      </c>
      <c r="E332" s="122">
        <f t="shared" si="41"/>
        <v>0</v>
      </c>
      <c r="F332" s="287">
        <f t="shared" si="41"/>
        <v>10000</v>
      </c>
      <c r="G332" s="287">
        <v>10000</v>
      </c>
      <c r="H332" s="287">
        <v>10000</v>
      </c>
      <c r="I332" s="329">
        <f t="shared" ref="I332:J334" si="42">AVERAGE(G332/F332*100)</f>
        <v>100</v>
      </c>
      <c r="J332" s="329">
        <f t="shared" si="42"/>
        <v>100</v>
      </c>
    </row>
    <row r="333" spans="1:10" s="149" customFormat="1" ht="15" x14ac:dyDescent="0.2">
      <c r="A333" s="150" t="s">
        <v>290</v>
      </c>
      <c r="B333" s="120"/>
      <c r="C333" s="162">
        <v>323</v>
      </c>
      <c r="D333" s="163" t="s">
        <v>56</v>
      </c>
      <c r="E333" s="122">
        <f t="shared" si="41"/>
        <v>0</v>
      </c>
      <c r="F333" s="287">
        <f t="shared" si="41"/>
        <v>10000</v>
      </c>
      <c r="G333" s="287"/>
      <c r="H333" s="287"/>
      <c r="I333" s="329">
        <f t="shared" si="42"/>
        <v>0</v>
      </c>
      <c r="J333" s="329"/>
    </row>
    <row r="334" spans="1:10" s="131" customFormat="1" ht="14.25" hidden="1" x14ac:dyDescent="0.2">
      <c r="A334" s="150" t="s">
        <v>290</v>
      </c>
      <c r="B334" s="124">
        <v>81</v>
      </c>
      <c r="C334" s="164">
        <v>3234</v>
      </c>
      <c r="D334" s="165" t="s">
        <v>60</v>
      </c>
      <c r="E334" s="126">
        <v>0</v>
      </c>
      <c r="F334" s="290">
        <v>10000</v>
      </c>
      <c r="G334" s="290"/>
      <c r="H334" s="290"/>
      <c r="I334" s="329">
        <f t="shared" si="42"/>
        <v>0</v>
      </c>
      <c r="J334" s="329"/>
    </row>
    <row r="335" spans="1:10" s="98" customFormat="1" ht="15.75" thickBot="1" x14ac:dyDescent="0.25">
      <c r="A335" s="127"/>
      <c r="C335" s="193"/>
      <c r="D335" s="217"/>
      <c r="E335" s="218"/>
      <c r="F335" s="314"/>
      <c r="G335" s="314"/>
      <c r="H335" s="314"/>
      <c r="I335" s="246"/>
      <c r="J335" s="246"/>
    </row>
    <row r="336" spans="1:10" s="209" customFormat="1" ht="17.25" thickBot="1" x14ac:dyDescent="0.3">
      <c r="A336" s="919" t="s">
        <v>280</v>
      </c>
      <c r="B336" s="920"/>
      <c r="C336" s="920"/>
      <c r="D336" s="920"/>
      <c r="E336" s="197">
        <f>SUM(E338+E371+E414)</f>
        <v>2675000</v>
      </c>
      <c r="F336" s="307">
        <f>SUM(F338+F371+F414)</f>
        <v>6430000</v>
      </c>
      <c r="G336" s="307">
        <f>SUM(G338+G371+G414)</f>
        <v>3580000</v>
      </c>
      <c r="H336" s="307">
        <f>SUM(H338+H371+H414)</f>
        <v>3950000</v>
      </c>
      <c r="I336" s="245">
        <f>AVERAGE(G336/F336*100)</f>
        <v>55.676516329704505</v>
      </c>
      <c r="J336" s="245">
        <f>AVERAGE(H336/G336*100)</f>
        <v>110.33519553072625</v>
      </c>
    </row>
    <row r="337" spans="1:10" s="209" customFormat="1" ht="17.25" thickBot="1" x14ac:dyDescent="0.3">
      <c r="A337" s="219"/>
      <c r="B337" s="219"/>
      <c r="C337" s="219"/>
      <c r="D337" s="219"/>
      <c r="E337" s="191"/>
      <c r="F337" s="304"/>
      <c r="G337" s="304"/>
      <c r="H337" s="304"/>
      <c r="I337" s="246"/>
      <c r="J337" s="246"/>
    </row>
    <row r="338" spans="1:10" s="98" customFormat="1" ht="16.5" thickBot="1" x14ac:dyDescent="0.3">
      <c r="A338" s="902" t="s">
        <v>239</v>
      </c>
      <c r="B338" s="903"/>
      <c r="C338" s="903"/>
      <c r="D338" s="903"/>
      <c r="E338" s="110">
        <f>SUM(E342+E351+E359+E366)</f>
        <v>0</v>
      </c>
      <c r="F338" s="282">
        <f>SUM(F342+F351+F359+F366)</f>
        <v>670000</v>
      </c>
      <c r="G338" s="282">
        <f>SUM(G342+G351+G359+G366)</f>
        <v>550000</v>
      </c>
      <c r="H338" s="282">
        <f>SUM(H342+H351+H359+H366)</f>
        <v>480000</v>
      </c>
      <c r="I338" s="247">
        <f>AVERAGE(G338/F338*100)</f>
        <v>82.089552238805979</v>
      </c>
      <c r="J338" s="247">
        <f>AVERAGE(H338/G338*100)</f>
        <v>87.272727272727266</v>
      </c>
    </row>
    <row r="339" spans="1:10" ht="15" x14ac:dyDescent="0.25">
      <c r="A339" s="127"/>
      <c r="B339" s="1"/>
      <c r="C339" s="206"/>
      <c r="D339" s="211"/>
      <c r="E339" s="194"/>
      <c r="F339" s="305"/>
      <c r="G339" s="305"/>
      <c r="H339" s="305"/>
      <c r="I339" s="246"/>
      <c r="J339" s="246"/>
    </row>
    <row r="340" spans="1:10" ht="15.75" customHeight="1" x14ac:dyDescent="0.25">
      <c r="A340" s="127"/>
      <c r="B340" s="1"/>
      <c r="C340" s="206"/>
      <c r="D340" s="201" t="s">
        <v>221</v>
      </c>
      <c r="E340" s="115"/>
      <c r="F340" s="284"/>
      <c r="G340" s="284"/>
      <c r="H340" s="284"/>
      <c r="I340" s="248"/>
      <c r="J340" s="248"/>
    </row>
    <row r="341" spans="1:10" ht="15.75" customHeight="1" x14ac:dyDescent="0.25">
      <c r="A341" s="127"/>
      <c r="B341" s="1"/>
      <c r="C341" s="206"/>
      <c r="D341" s="236" t="s">
        <v>193</v>
      </c>
      <c r="E341" s="117"/>
      <c r="F341" s="285"/>
      <c r="G341" s="285"/>
      <c r="H341" s="285"/>
      <c r="I341" s="249"/>
      <c r="J341" s="249"/>
    </row>
    <row r="342" spans="1:10" ht="16.5" customHeight="1" x14ac:dyDescent="0.25">
      <c r="A342" s="127"/>
      <c r="B342" s="1"/>
      <c r="C342" s="206"/>
      <c r="D342" s="271" t="s">
        <v>325</v>
      </c>
      <c r="E342" s="196">
        <f>SUM(E343)</f>
        <v>0</v>
      </c>
      <c r="F342" s="279">
        <f>SUM(F343)</f>
        <v>115000</v>
      </c>
      <c r="G342" s="279">
        <f>SUM(G343)</f>
        <v>100000</v>
      </c>
      <c r="H342" s="279">
        <f>SUM(H343)</f>
        <v>80000</v>
      </c>
      <c r="I342" s="331">
        <f>AVERAGE(G342/F342*100)</f>
        <v>86.956521739130437</v>
      </c>
      <c r="J342" s="331">
        <f>AVERAGE(H342/G342*100)</f>
        <v>80</v>
      </c>
    </row>
    <row r="343" spans="1:10" s="149" customFormat="1" ht="15" x14ac:dyDescent="0.2">
      <c r="A343" s="150" t="s">
        <v>290</v>
      </c>
      <c r="B343" s="120"/>
      <c r="C343" s="162">
        <v>32</v>
      </c>
      <c r="D343" s="163" t="s">
        <v>178</v>
      </c>
      <c r="E343" s="122">
        <f>SUM(E344+E346)</f>
        <v>0</v>
      </c>
      <c r="F343" s="287">
        <f>SUM(F344+F346)</f>
        <v>115000</v>
      </c>
      <c r="G343" s="287">
        <v>100000</v>
      </c>
      <c r="H343" s="287">
        <v>80000</v>
      </c>
      <c r="I343" s="329">
        <f t="shared" ref="I343:J347" si="43">AVERAGE(G343/F343*100)</f>
        <v>86.956521739130437</v>
      </c>
      <c r="J343" s="329">
        <f t="shared" si="43"/>
        <v>80</v>
      </c>
    </row>
    <row r="344" spans="1:10" s="149" customFormat="1" ht="15" x14ac:dyDescent="0.2">
      <c r="A344" s="150" t="s">
        <v>290</v>
      </c>
      <c r="B344" s="120"/>
      <c r="C344" s="162">
        <v>322</v>
      </c>
      <c r="D344" s="163" t="s">
        <v>52</v>
      </c>
      <c r="E344" s="122">
        <f>SUM(E345)</f>
        <v>0</v>
      </c>
      <c r="F344" s="287">
        <f>SUM(F345)</f>
        <v>100000</v>
      </c>
      <c r="G344" s="287"/>
      <c r="H344" s="287"/>
      <c r="I344" s="329">
        <f t="shared" si="43"/>
        <v>0</v>
      </c>
      <c r="J344" s="329"/>
    </row>
    <row r="345" spans="1:10" s="131" customFormat="1" ht="14.25" hidden="1" x14ac:dyDescent="0.2">
      <c r="A345" s="150" t="s">
        <v>290</v>
      </c>
      <c r="B345" s="124">
        <v>82</v>
      </c>
      <c r="C345" s="164">
        <v>3223</v>
      </c>
      <c r="D345" s="165" t="s">
        <v>54</v>
      </c>
      <c r="E345" s="126">
        <v>0</v>
      </c>
      <c r="F345" s="290">
        <v>100000</v>
      </c>
      <c r="G345" s="290"/>
      <c r="H345" s="290"/>
      <c r="I345" s="329">
        <f t="shared" si="43"/>
        <v>0</v>
      </c>
      <c r="J345" s="329"/>
    </row>
    <row r="346" spans="1:10" s="149" customFormat="1" ht="15" x14ac:dyDescent="0.2">
      <c r="A346" s="150" t="s">
        <v>290</v>
      </c>
      <c r="B346" s="120"/>
      <c r="C346" s="162">
        <v>323</v>
      </c>
      <c r="D346" s="163" t="s">
        <v>56</v>
      </c>
      <c r="E346" s="122">
        <f>SUM(E347)</f>
        <v>0</v>
      </c>
      <c r="F346" s="287">
        <f>SUM(F347)</f>
        <v>15000</v>
      </c>
      <c r="G346" s="287"/>
      <c r="H346" s="287"/>
      <c r="I346" s="329">
        <f t="shared" si="43"/>
        <v>0</v>
      </c>
      <c r="J346" s="329"/>
    </row>
    <row r="347" spans="1:10" s="131" customFormat="1" ht="14.25" hidden="1" x14ac:dyDescent="0.2">
      <c r="A347" s="150" t="s">
        <v>290</v>
      </c>
      <c r="B347" s="124">
        <v>83</v>
      </c>
      <c r="C347" s="164">
        <v>3232</v>
      </c>
      <c r="D347" s="165" t="s">
        <v>240</v>
      </c>
      <c r="E347" s="126">
        <v>0</v>
      </c>
      <c r="F347" s="290">
        <v>15000</v>
      </c>
      <c r="G347" s="290"/>
      <c r="H347" s="290"/>
      <c r="I347" s="329">
        <f t="shared" si="43"/>
        <v>0</v>
      </c>
      <c r="J347" s="329"/>
    </row>
    <row r="348" spans="1:10" s="131" customFormat="1" ht="14.25" x14ac:dyDescent="0.2">
      <c r="A348" s="128"/>
      <c r="B348" s="128"/>
      <c r="C348" s="171"/>
      <c r="D348" s="172"/>
      <c r="E348" s="130"/>
      <c r="F348" s="292"/>
      <c r="G348" s="292"/>
      <c r="H348" s="292"/>
      <c r="I348" s="251"/>
      <c r="J348" s="251"/>
    </row>
    <row r="349" spans="1:10" ht="15" x14ac:dyDescent="0.25">
      <c r="A349" s="127"/>
      <c r="B349" s="1"/>
      <c r="C349" s="206"/>
      <c r="D349" s="114" t="s">
        <v>221</v>
      </c>
      <c r="E349" s="115"/>
      <c r="F349" s="284"/>
      <c r="G349" s="284"/>
      <c r="H349" s="284"/>
      <c r="I349" s="248"/>
      <c r="J349" s="248"/>
    </row>
    <row r="350" spans="1:10" ht="15" x14ac:dyDescent="0.25">
      <c r="A350" s="127"/>
      <c r="B350" s="1"/>
      <c r="C350" s="206"/>
      <c r="D350" s="183" t="s">
        <v>193</v>
      </c>
      <c r="E350" s="117"/>
      <c r="F350" s="285"/>
      <c r="G350" s="285"/>
      <c r="H350" s="285"/>
      <c r="I350" s="249"/>
      <c r="J350" s="249"/>
    </row>
    <row r="351" spans="1:10" ht="15" x14ac:dyDescent="0.25">
      <c r="A351" s="127"/>
      <c r="B351" s="1"/>
      <c r="C351" s="206"/>
      <c r="D351" s="267" t="s">
        <v>326</v>
      </c>
      <c r="E351" s="196">
        <f t="shared" ref="E351:H352" si="44">SUM(E352)</f>
        <v>0</v>
      </c>
      <c r="F351" s="279">
        <f t="shared" si="44"/>
        <v>55000</v>
      </c>
      <c r="G351" s="279">
        <f t="shared" si="44"/>
        <v>50000</v>
      </c>
      <c r="H351" s="279">
        <f t="shared" si="44"/>
        <v>50000</v>
      </c>
      <c r="I351" s="331">
        <f>AVERAGE(G351/F351*100)</f>
        <v>90.909090909090907</v>
      </c>
      <c r="J351" s="331">
        <f>AVERAGE(H351/G351*100)</f>
        <v>100</v>
      </c>
    </row>
    <row r="352" spans="1:10" s="149" customFormat="1" ht="15" x14ac:dyDescent="0.2">
      <c r="A352" s="164" t="s">
        <v>304</v>
      </c>
      <c r="B352" s="120"/>
      <c r="C352" s="162">
        <v>32</v>
      </c>
      <c r="D352" s="163" t="s">
        <v>178</v>
      </c>
      <c r="E352" s="122">
        <f t="shared" si="44"/>
        <v>0</v>
      </c>
      <c r="F352" s="287">
        <f t="shared" si="44"/>
        <v>55000</v>
      </c>
      <c r="G352" s="287">
        <v>50000</v>
      </c>
      <c r="H352" s="287">
        <v>50000</v>
      </c>
      <c r="I352" s="329">
        <f t="shared" ref="I352:J355" si="45">AVERAGE(G352/F352*100)</f>
        <v>90.909090909090907</v>
      </c>
      <c r="J352" s="329">
        <f t="shared" si="45"/>
        <v>100</v>
      </c>
    </row>
    <row r="353" spans="1:10" s="149" customFormat="1" ht="15" x14ac:dyDescent="0.2">
      <c r="A353" s="164" t="s">
        <v>304</v>
      </c>
      <c r="B353" s="120"/>
      <c r="C353" s="162">
        <v>323</v>
      </c>
      <c r="D353" s="163" t="s">
        <v>56</v>
      </c>
      <c r="E353" s="122">
        <f>SUM(E354:E355)</f>
        <v>0</v>
      </c>
      <c r="F353" s="287">
        <f>SUM(F354:F355)</f>
        <v>55000</v>
      </c>
      <c r="G353" s="287"/>
      <c r="H353" s="287"/>
      <c r="I353" s="329">
        <f t="shared" si="45"/>
        <v>0</v>
      </c>
      <c r="J353" s="329"/>
    </row>
    <row r="354" spans="1:10" s="131" customFormat="1" ht="14.25" hidden="1" x14ac:dyDescent="0.2">
      <c r="A354" s="164" t="s">
        <v>304</v>
      </c>
      <c r="B354" s="124">
        <v>84</v>
      </c>
      <c r="C354" s="164">
        <v>3232</v>
      </c>
      <c r="D354" s="165" t="s">
        <v>240</v>
      </c>
      <c r="E354" s="126">
        <v>0</v>
      </c>
      <c r="F354" s="290">
        <v>10000</v>
      </c>
      <c r="G354" s="290"/>
      <c r="H354" s="290"/>
      <c r="I354" s="329">
        <f t="shared" si="45"/>
        <v>0</v>
      </c>
      <c r="J354" s="329"/>
    </row>
    <row r="355" spans="1:10" s="131" customFormat="1" ht="14.25" hidden="1" x14ac:dyDescent="0.2">
      <c r="A355" s="164" t="s">
        <v>304</v>
      </c>
      <c r="B355" s="124">
        <v>85</v>
      </c>
      <c r="C355" s="164">
        <v>3234</v>
      </c>
      <c r="D355" s="165" t="s">
        <v>60</v>
      </c>
      <c r="E355" s="126">
        <v>0</v>
      </c>
      <c r="F355" s="290">
        <v>45000</v>
      </c>
      <c r="G355" s="290"/>
      <c r="H355" s="290"/>
      <c r="I355" s="329">
        <f t="shared" si="45"/>
        <v>0</v>
      </c>
      <c r="J355" s="329"/>
    </row>
    <row r="356" spans="1:10" s="131" customFormat="1" ht="14.25" x14ac:dyDescent="0.2">
      <c r="A356" s="128"/>
      <c r="B356" s="128"/>
      <c r="C356" s="171"/>
      <c r="D356" s="172"/>
      <c r="E356" s="130"/>
      <c r="F356" s="292"/>
      <c r="G356" s="292"/>
      <c r="H356" s="292"/>
      <c r="I356" s="251"/>
      <c r="J356" s="251"/>
    </row>
    <row r="357" spans="1:10" ht="15" x14ac:dyDescent="0.25">
      <c r="B357" s="1"/>
      <c r="C357" s="206"/>
      <c r="D357" s="201" t="s">
        <v>221</v>
      </c>
      <c r="E357" s="115"/>
      <c r="F357" s="284"/>
      <c r="G357" s="284"/>
      <c r="H357" s="284"/>
      <c r="I357" s="256"/>
      <c r="J357" s="256"/>
    </row>
    <row r="358" spans="1:10" ht="14.25" customHeight="1" x14ac:dyDescent="0.25">
      <c r="B358" s="1"/>
      <c r="C358" s="206"/>
      <c r="D358" s="237" t="s">
        <v>241</v>
      </c>
      <c r="E358" s="117"/>
      <c r="F358" s="285"/>
      <c r="G358" s="285"/>
      <c r="H358" s="285"/>
      <c r="I358" s="257"/>
      <c r="J358" s="257"/>
    </row>
    <row r="359" spans="1:10" ht="15" x14ac:dyDescent="0.25">
      <c r="B359" s="1"/>
      <c r="C359" s="206"/>
      <c r="D359" s="272" t="s">
        <v>327</v>
      </c>
      <c r="E359" s="196">
        <f t="shared" ref="E359:H361" si="46">SUM(E360)</f>
        <v>0</v>
      </c>
      <c r="F359" s="279">
        <f t="shared" si="46"/>
        <v>250000</v>
      </c>
      <c r="G359" s="279">
        <f t="shared" si="46"/>
        <v>200000</v>
      </c>
      <c r="H359" s="279">
        <f t="shared" si="46"/>
        <v>150000</v>
      </c>
      <c r="I359" s="331">
        <f>AVERAGE(G359/F359*100)</f>
        <v>80</v>
      </c>
      <c r="J359" s="331">
        <f>AVERAGE(H359/G359*100)</f>
        <v>75</v>
      </c>
    </row>
    <row r="360" spans="1:10" s="149" customFormat="1" ht="15" x14ac:dyDescent="0.2">
      <c r="A360" s="124" t="s">
        <v>305</v>
      </c>
      <c r="B360" s="120"/>
      <c r="C360" s="162">
        <v>32</v>
      </c>
      <c r="D360" s="163" t="s">
        <v>178</v>
      </c>
      <c r="E360" s="122">
        <f t="shared" si="46"/>
        <v>0</v>
      </c>
      <c r="F360" s="287">
        <f t="shared" si="46"/>
        <v>250000</v>
      </c>
      <c r="G360" s="287">
        <v>200000</v>
      </c>
      <c r="H360" s="287">
        <v>150000</v>
      </c>
      <c r="I360" s="329">
        <f t="shared" ref="I360:J362" si="47">AVERAGE(G360/F360*100)</f>
        <v>80</v>
      </c>
      <c r="J360" s="329">
        <f t="shared" si="47"/>
        <v>75</v>
      </c>
    </row>
    <row r="361" spans="1:10" s="149" customFormat="1" ht="15" x14ac:dyDescent="0.2">
      <c r="A361" s="124" t="s">
        <v>305</v>
      </c>
      <c r="B361" s="120"/>
      <c r="C361" s="162">
        <v>323</v>
      </c>
      <c r="D361" s="163" t="s">
        <v>56</v>
      </c>
      <c r="E361" s="122">
        <f t="shared" si="46"/>
        <v>0</v>
      </c>
      <c r="F361" s="287">
        <f t="shared" si="46"/>
        <v>250000</v>
      </c>
      <c r="G361" s="287"/>
      <c r="H361" s="287"/>
      <c r="I361" s="329">
        <f t="shared" si="47"/>
        <v>0</v>
      </c>
      <c r="J361" s="329"/>
    </row>
    <row r="362" spans="1:10" s="131" customFormat="1" ht="14.25" hidden="1" x14ac:dyDescent="0.2">
      <c r="A362" s="124" t="s">
        <v>305</v>
      </c>
      <c r="B362" s="124">
        <v>86</v>
      </c>
      <c r="C362" s="164">
        <v>3232</v>
      </c>
      <c r="D362" s="165" t="s">
        <v>240</v>
      </c>
      <c r="E362" s="126">
        <v>0</v>
      </c>
      <c r="F362" s="290">
        <v>250000</v>
      </c>
      <c r="G362" s="290"/>
      <c r="H362" s="290"/>
      <c r="I362" s="329">
        <f t="shared" si="47"/>
        <v>0</v>
      </c>
      <c r="J362" s="329"/>
    </row>
    <row r="363" spans="1:10" s="131" customFormat="1" ht="14.25" x14ac:dyDescent="0.2">
      <c r="A363" s="128"/>
      <c r="B363" s="128"/>
      <c r="C363" s="171"/>
      <c r="D363" s="172"/>
      <c r="E363" s="130"/>
      <c r="F363" s="292"/>
      <c r="G363" s="292"/>
      <c r="H363" s="292"/>
      <c r="I363" s="251"/>
      <c r="J363" s="251"/>
    </row>
    <row r="364" spans="1:10" ht="15" x14ac:dyDescent="0.25">
      <c r="B364" s="1"/>
      <c r="C364" s="206"/>
      <c r="D364" s="201" t="s">
        <v>221</v>
      </c>
      <c r="E364" s="115"/>
      <c r="F364" s="284"/>
      <c r="G364" s="284"/>
      <c r="H364" s="284"/>
      <c r="I364" s="256"/>
      <c r="J364" s="256"/>
    </row>
    <row r="365" spans="1:10" ht="14.25" customHeight="1" x14ac:dyDescent="0.25">
      <c r="B365" s="1"/>
      <c r="C365" s="206"/>
      <c r="D365" s="237" t="s">
        <v>242</v>
      </c>
      <c r="E365" s="117"/>
      <c r="F365" s="285"/>
      <c r="G365" s="285"/>
      <c r="H365" s="285"/>
      <c r="I365" s="257"/>
      <c r="J365" s="257"/>
    </row>
    <row r="366" spans="1:10" ht="30" x14ac:dyDescent="0.25">
      <c r="B366" s="1"/>
      <c r="C366" s="206"/>
      <c r="D366" s="271" t="s">
        <v>328</v>
      </c>
      <c r="E366" s="196">
        <f t="shared" ref="E366:H368" si="48">SUM(E367)</f>
        <v>0</v>
      </c>
      <c r="F366" s="279">
        <f t="shared" si="48"/>
        <v>250000</v>
      </c>
      <c r="G366" s="279">
        <f t="shared" si="48"/>
        <v>200000</v>
      </c>
      <c r="H366" s="279">
        <f t="shared" si="48"/>
        <v>200000</v>
      </c>
      <c r="I366" s="331">
        <f>AVERAGE(G366/F366*100)</f>
        <v>80</v>
      </c>
      <c r="J366" s="331">
        <f>AVERAGE(H366/G366*100)</f>
        <v>100</v>
      </c>
    </row>
    <row r="367" spans="1:10" s="149" customFormat="1" ht="15" x14ac:dyDescent="0.2">
      <c r="A367" s="124" t="s">
        <v>306</v>
      </c>
      <c r="B367" s="120"/>
      <c r="C367" s="162">
        <v>32</v>
      </c>
      <c r="D367" s="163" t="s">
        <v>178</v>
      </c>
      <c r="E367" s="122">
        <f t="shared" si="48"/>
        <v>0</v>
      </c>
      <c r="F367" s="287">
        <f t="shared" si="48"/>
        <v>250000</v>
      </c>
      <c r="G367" s="287">
        <v>200000</v>
      </c>
      <c r="H367" s="287">
        <v>200000</v>
      </c>
      <c r="I367" s="329">
        <f t="shared" ref="I367:J369" si="49">AVERAGE(G367/F367*100)</f>
        <v>80</v>
      </c>
      <c r="J367" s="329">
        <f t="shared" si="49"/>
        <v>100</v>
      </c>
    </row>
    <row r="368" spans="1:10" s="149" customFormat="1" ht="15" x14ac:dyDescent="0.2">
      <c r="A368" s="124" t="s">
        <v>306</v>
      </c>
      <c r="B368" s="120"/>
      <c r="C368" s="162">
        <v>323</v>
      </c>
      <c r="D368" s="163" t="s">
        <v>56</v>
      </c>
      <c r="E368" s="122">
        <f t="shared" si="48"/>
        <v>0</v>
      </c>
      <c r="F368" s="287">
        <f t="shared" si="48"/>
        <v>250000</v>
      </c>
      <c r="G368" s="287"/>
      <c r="H368" s="287"/>
      <c r="I368" s="329">
        <f t="shared" si="49"/>
        <v>0</v>
      </c>
      <c r="J368" s="329"/>
    </row>
    <row r="369" spans="1:10" s="131" customFormat="1" ht="14.25" hidden="1" x14ac:dyDescent="0.2">
      <c r="A369" s="124" t="s">
        <v>306</v>
      </c>
      <c r="B369" s="124">
        <v>87</v>
      </c>
      <c r="C369" s="164">
        <v>3232</v>
      </c>
      <c r="D369" s="165" t="s">
        <v>240</v>
      </c>
      <c r="E369" s="126">
        <v>0</v>
      </c>
      <c r="F369" s="290">
        <v>250000</v>
      </c>
      <c r="G369" s="290"/>
      <c r="H369" s="290"/>
      <c r="I369" s="329">
        <f t="shared" si="49"/>
        <v>0</v>
      </c>
      <c r="J369" s="329"/>
    </row>
    <row r="370" spans="1:10" s="131" customFormat="1" ht="15" thickBot="1" x14ac:dyDescent="0.25">
      <c r="A370" s="128"/>
      <c r="B370" s="128"/>
      <c r="C370" s="171"/>
      <c r="D370" s="172"/>
      <c r="E370" s="130"/>
      <c r="F370" s="292"/>
      <c r="G370" s="292"/>
      <c r="H370" s="292"/>
      <c r="I370" s="251"/>
      <c r="J370" s="251"/>
    </row>
    <row r="371" spans="1:10" s="98" customFormat="1" ht="16.5" thickBot="1" x14ac:dyDescent="0.3">
      <c r="A371" s="902" t="s">
        <v>243</v>
      </c>
      <c r="B371" s="903"/>
      <c r="C371" s="903"/>
      <c r="D371" s="903"/>
      <c r="E371" s="110">
        <f>SUM(E375+E382+E389+E399+E406)</f>
        <v>1030000</v>
      </c>
      <c r="F371" s="282">
        <f>SUM(F375+F382+F389+F399+F406)</f>
        <v>2250000</v>
      </c>
      <c r="G371" s="282">
        <f>SUM(G375+G382+G389+G399+G406)</f>
        <v>1650000</v>
      </c>
      <c r="H371" s="282">
        <f>SUM(H375+H382+H389+H399+H406)</f>
        <v>1900000</v>
      </c>
      <c r="I371" s="247">
        <f>AVERAGE(G371/F371*100)</f>
        <v>73.333333333333329</v>
      </c>
      <c r="J371" s="247">
        <f>AVERAGE(H371/G371*100)</f>
        <v>115.15151515151516</v>
      </c>
    </row>
    <row r="372" spans="1:10" s="98" customFormat="1" ht="15.75" x14ac:dyDescent="0.25">
      <c r="A372" s="99"/>
      <c r="B372" s="99"/>
      <c r="C372" s="99"/>
      <c r="D372" s="99"/>
      <c r="E372" s="198"/>
      <c r="F372" s="308"/>
      <c r="G372" s="308"/>
      <c r="H372" s="308"/>
      <c r="I372" s="246"/>
      <c r="J372" s="246"/>
    </row>
    <row r="373" spans="1:10" s="1" customFormat="1" ht="28.5" x14ac:dyDescent="0.25">
      <c r="C373" s="206"/>
      <c r="D373" s="201" t="s">
        <v>244</v>
      </c>
      <c r="E373" s="115"/>
      <c r="F373" s="284"/>
      <c r="G373" s="284"/>
      <c r="H373" s="284"/>
      <c r="I373" s="256"/>
      <c r="J373" s="256"/>
    </row>
    <row r="374" spans="1:10" s="1" customFormat="1" ht="15" x14ac:dyDescent="0.25">
      <c r="C374" s="206"/>
      <c r="D374" s="237" t="s">
        <v>245</v>
      </c>
      <c r="E374" s="117"/>
      <c r="F374" s="285"/>
      <c r="G374" s="285"/>
      <c r="H374" s="285"/>
      <c r="I374" s="257"/>
      <c r="J374" s="257"/>
    </row>
    <row r="375" spans="1:10" s="1" customFormat="1" ht="30" x14ac:dyDescent="0.25">
      <c r="C375" s="206"/>
      <c r="D375" s="271" t="s">
        <v>329</v>
      </c>
      <c r="E375" s="196">
        <f t="shared" ref="E375:H377" si="50">SUM(E376)</f>
        <v>70000</v>
      </c>
      <c r="F375" s="279">
        <f t="shared" si="50"/>
        <v>50000</v>
      </c>
      <c r="G375" s="279">
        <f t="shared" si="50"/>
        <v>100000</v>
      </c>
      <c r="H375" s="279">
        <f t="shared" si="50"/>
        <v>150000</v>
      </c>
      <c r="I375" s="331">
        <f>AVERAGE(G375/F375*100)</f>
        <v>200</v>
      </c>
      <c r="J375" s="331">
        <f>AVERAGE(H375/G375*100)</f>
        <v>150</v>
      </c>
    </row>
    <row r="376" spans="1:10" s="149" customFormat="1" ht="15" x14ac:dyDescent="0.2">
      <c r="A376" s="124" t="s">
        <v>291</v>
      </c>
      <c r="B376" s="120"/>
      <c r="C376" s="162">
        <v>41</v>
      </c>
      <c r="D376" s="163" t="s">
        <v>246</v>
      </c>
      <c r="E376" s="122">
        <f t="shared" si="50"/>
        <v>70000</v>
      </c>
      <c r="F376" s="287">
        <f t="shared" si="50"/>
        <v>50000</v>
      </c>
      <c r="G376" s="287">
        <v>100000</v>
      </c>
      <c r="H376" s="287">
        <v>150000</v>
      </c>
      <c r="I376" s="329">
        <f t="shared" ref="I376:J378" si="51">AVERAGE(G376/F376*100)</f>
        <v>200</v>
      </c>
      <c r="J376" s="329">
        <f t="shared" si="51"/>
        <v>150</v>
      </c>
    </row>
    <row r="377" spans="1:10" s="131" customFormat="1" ht="14.25" x14ac:dyDescent="0.2">
      <c r="A377" s="124" t="s">
        <v>291</v>
      </c>
      <c r="B377" s="120"/>
      <c r="C377" s="162">
        <v>411</v>
      </c>
      <c r="D377" s="163" t="s">
        <v>95</v>
      </c>
      <c r="E377" s="122">
        <f t="shared" si="50"/>
        <v>70000</v>
      </c>
      <c r="F377" s="287">
        <f t="shared" si="50"/>
        <v>50000</v>
      </c>
      <c r="G377" s="287"/>
      <c r="H377" s="287"/>
      <c r="I377" s="329">
        <f t="shared" si="51"/>
        <v>0</v>
      </c>
      <c r="J377" s="329"/>
    </row>
    <row r="378" spans="1:10" s="131" customFormat="1" ht="14.25" hidden="1" x14ac:dyDescent="0.2">
      <c r="A378" s="124" t="s">
        <v>291</v>
      </c>
      <c r="B378" s="124">
        <v>88</v>
      </c>
      <c r="C378" s="164">
        <v>4111</v>
      </c>
      <c r="D378" s="165" t="s">
        <v>40</v>
      </c>
      <c r="E378" s="126">
        <v>70000</v>
      </c>
      <c r="F378" s="290">
        <v>50000</v>
      </c>
      <c r="G378" s="290"/>
      <c r="H378" s="290"/>
      <c r="I378" s="329">
        <f t="shared" si="51"/>
        <v>0</v>
      </c>
      <c r="J378" s="329"/>
    </row>
    <row r="379" spans="1:10" s="98" customFormat="1" ht="15" x14ac:dyDescent="0.2">
      <c r="A379" s="127"/>
      <c r="C379" s="193"/>
      <c r="D379" s="217"/>
      <c r="E379" s="218"/>
      <c r="F379" s="314"/>
      <c r="G379" s="314"/>
      <c r="H379" s="314"/>
      <c r="I379" s="246"/>
      <c r="J379" s="246"/>
    </row>
    <row r="380" spans="1:10" s="1" customFormat="1" ht="15" x14ac:dyDescent="0.25">
      <c r="A380" s="123"/>
      <c r="C380" s="206"/>
      <c r="D380" s="201" t="s">
        <v>247</v>
      </c>
      <c r="E380" s="115"/>
      <c r="F380" s="284"/>
      <c r="G380" s="284"/>
      <c r="H380" s="284"/>
      <c r="I380" s="256"/>
      <c r="J380" s="256"/>
    </row>
    <row r="381" spans="1:10" s="1" customFormat="1" ht="15" x14ac:dyDescent="0.25">
      <c r="A381" s="123"/>
      <c r="C381" s="206"/>
      <c r="D381" s="237" t="s">
        <v>241</v>
      </c>
      <c r="E381" s="214"/>
      <c r="F381" s="313"/>
      <c r="G381" s="313"/>
      <c r="H381" s="313"/>
      <c r="I381" s="257"/>
      <c r="J381" s="257"/>
    </row>
    <row r="382" spans="1:10" s="1" customFormat="1" ht="15" x14ac:dyDescent="0.25">
      <c r="A382" s="123"/>
      <c r="C382" s="206"/>
      <c r="D382" s="272" t="s">
        <v>330</v>
      </c>
      <c r="E382" s="196">
        <f t="shared" ref="E382:H384" si="52">SUM(E383)</f>
        <v>700000</v>
      </c>
      <c r="F382" s="279">
        <f t="shared" si="52"/>
        <v>300000</v>
      </c>
      <c r="G382" s="279">
        <f t="shared" si="52"/>
        <v>300000</v>
      </c>
      <c r="H382" s="279">
        <f t="shared" si="52"/>
        <v>500000</v>
      </c>
      <c r="I382" s="331">
        <f>AVERAGE(G382/F382*100)</f>
        <v>100</v>
      </c>
      <c r="J382" s="331">
        <f>AVERAGE(H382/G382*100)</f>
        <v>166.66666666666669</v>
      </c>
    </row>
    <row r="383" spans="1:10" s="131" customFormat="1" ht="14.25" x14ac:dyDescent="0.2">
      <c r="A383" s="124" t="s">
        <v>309</v>
      </c>
      <c r="B383" s="120"/>
      <c r="C383" s="162">
        <v>42</v>
      </c>
      <c r="D383" s="163" t="s">
        <v>248</v>
      </c>
      <c r="E383" s="122">
        <f t="shared" si="52"/>
        <v>700000</v>
      </c>
      <c r="F383" s="287">
        <f t="shared" si="52"/>
        <v>300000</v>
      </c>
      <c r="G383" s="287">
        <v>300000</v>
      </c>
      <c r="H383" s="287">
        <v>500000</v>
      </c>
      <c r="I383" s="329">
        <f t="shared" ref="I383:J385" si="53">AVERAGE(G383/F383*100)</f>
        <v>100</v>
      </c>
      <c r="J383" s="329">
        <f t="shared" si="53"/>
        <v>166.66666666666669</v>
      </c>
    </row>
    <row r="384" spans="1:10" s="131" customFormat="1" ht="14.25" x14ac:dyDescent="0.2">
      <c r="A384" s="124" t="s">
        <v>309</v>
      </c>
      <c r="B384" s="120"/>
      <c r="C384" s="162">
        <v>421</v>
      </c>
      <c r="D384" s="163" t="s">
        <v>97</v>
      </c>
      <c r="E384" s="122">
        <f t="shared" si="52"/>
        <v>700000</v>
      </c>
      <c r="F384" s="287">
        <f t="shared" si="52"/>
        <v>300000</v>
      </c>
      <c r="G384" s="287"/>
      <c r="H384" s="287"/>
      <c r="I384" s="329">
        <f t="shared" si="53"/>
        <v>0</v>
      </c>
      <c r="J384" s="329"/>
    </row>
    <row r="385" spans="1:10" s="131" customFormat="1" ht="14.25" hidden="1" x14ac:dyDescent="0.2">
      <c r="A385" s="124" t="s">
        <v>309</v>
      </c>
      <c r="B385" s="124">
        <v>89</v>
      </c>
      <c r="C385" s="164">
        <v>4214</v>
      </c>
      <c r="D385" s="165" t="s">
        <v>249</v>
      </c>
      <c r="E385" s="126">
        <v>700000</v>
      </c>
      <c r="F385" s="290">
        <v>300000</v>
      </c>
      <c r="G385" s="290"/>
      <c r="H385" s="290"/>
      <c r="I385" s="329">
        <f t="shared" si="53"/>
        <v>0</v>
      </c>
      <c r="J385" s="329"/>
    </row>
    <row r="386" spans="1:10" s="131" customFormat="1" ht="14.25" x14ac:dyDescent="0.2">
      <c r="A386" s="128"/>
      <c r="B386" s="128"/>
      <c r="C386" s="171"/>
      <c r="D386" s="172"/>
      <c r="E386" s="130"/>
      <c r="F386" s="292"/>
      <c r="G386" s="292"/>
      <c r="H386" s="292"/>
      <c r="I386" s="251"/>
      <c r="J386" s="251"/>
    </row>
    <row r="387" spans="1:10" s="1" customFormat="1" ht="28.5" x14ac:dyDescent="0.25">
      <c r="A387" s="123"/>
      <c r="C387" s="206"/>
      <c r="D387" s="201" t="s">
        <v>244</v>
      </c>
      <c r="E387" s="115"/>
      <c r="F387" s="284"/>
      <c r="G387" s="284"/>
      <c r="H387" s="284"/>
      <c r="I387" s="256"/>
      <c r="J387" s="256"/>
    </row>
    <row r="388" spans="1:10" s="1" customFormat="1" ht="15" x14ac:dyDescent="0.25">
      <c r="A388" s="123"/>
      <c r="C388" s="206"/>
      <c r="D388" s="237" t="s">
        <v>193</v>
      </c>
      <c r="E388" s="214"/>
      <c r="F388" s="313"/>
      <c r="G388" s="313"/>
      <c r="H388" s="285"/>
      <c r="I388" s="257"/>
      <c r="J388" s="257"/>
    </row>
    <row r="389" spans="1:10" s="1" customFormat="1" ht="15" x14ac:dyDescent="0.25">
      <c r="A389" s="123"/>
      <c r="C389" s="206"/>
      <c r="D389" s="272" t="s">
        <v>331</v>
      </c>
      <c r="E389" s="196">
        <f>SUM(E390+E393)</f>
        <v>110000</v>
      </c>
      <c r="F389" s="279">
        <f>SUM(F390+F393)</f>
        <v>100000</v>
      </c>
      <c r="G389" s="279">
        <f>SUM(G390+G393)</f>
        <v>50000</v>
      </c>
      <c r="H389" s="279">
        <f>SUM(H390+H393)</f>
        <v>50000</v>
      </c>
      <c r="I389" s="331">
        <f>AVERAGE(G389/F389*100)</f>
        <v>50</v>
      </c>
      <c r="J389" s="331">
        <f>AVERAGE(H389/G389*100)</f>
        <v>100</v>
      </c>
    </row>
    <row r="390" spans="1:10" s="131" customFormat="1" ht="14.25" x14ac:dyDescent="0.2">
      <c r="A390" s="124" t="s">
        <v>310</v>
      </c>
      <c r="B390" s="120"/>
      <c r="C390" s="162">
        <v>38</v>
      </c>
      <c r="D390" s="163" t="s">
        <v>128</v>
      </c>
      <c r="E390" s="122">
        <f t="shared" ref="E390:H394" si="54">SUM(E391)</f>
        <v>10000</v>
      </c>
      <c r="F390" s="287">
        <f t="shared" si="54"/>
        <v>100000</v>
      </c>
      <c r="G390" s="287">
        <v>50000</v>
      </c>
      <c r="H390" s="287">
        <v>50000</v>
      </c>
      <c r="I390" s="329">
        <f>AVERAGE(G390/F390*100)</f>
        <v>50</v>
      </c>
      <c r="J390" s="329">
        <f>AVERAGE(H390/G390*100)</f>
        <v>100</v>
      </c>
    </row>
    <row r="391" spans="1:10" s="131" customFormat="1" ht="14.25" x14ac:dyDescent="0.2">
      <c r="A391" s="124" t="s">
        <v>310</v>
      </c>
      <c r="B391" s="120"/>
      <c r="C391" s="162">
        <v>386</v>
      </c>
      <c r="D391" s="163" t="s">
        <v>260</v>
      </c>
      <c r="E391" s="122">
        <f t="shared" si="54"/>
        <v>10000</v>
      </c>
      <c r="F391" s="287">
        <f t="shared" si="54"/>
        <v>100000</v>
      </c>
      <c r="G391" s="287"/>
      <c r="H391" s="287"/>
      <c r="I391" s="329">
        <f>AVERAGE(G391/F391*100)</f>
        <v>0</v>
      </c>
      <c r="J391" s="329"/>
    </row>
    <row r="392" spans="1:10" s="131" customFormat="1" ht="14.25" hidden="1" x14ac:dyDescent="0.2">
      <c r="A392" s="124" t="s">
        <v>310</v>
      </c>
      <c r="B392" s="124">
        <v>90</v>
      </c>
      <c r="C392" s="164">
        <v>3862</v>
      </c>
      <c r="D392" s="165" t="s">
        <v>261</v>
      </c>
      <c r="E392" s="126">
        <v>10000</v>
      </c>
      <c r="F392" s="290">
        <v>100000</v>
      </c>
      <c r="G392" s="290"/>
      <c r="H392" s="290"/>
      <c r="I392" s="329">
        <f>AVERAGE(G392/F392*100)</f>
        <v>0</v>
      </c>
      <c r="J392" s="329"/>
    </row>
    <row r="393" spans="1:10" s="131" customFormat="1" ht="14.25" x14ac:dyDescent="0.2">
      <c r="A393" s="124" t="s">
        <v>310</v>
      </c>
      <c r="B393" s="120"/>
      <c r="C393" s="162">
        <v>42</v>
      </c>
      <c r="D393" s="163" t="s">
        <v>248</v>
      </c>
      <c r="E393" s="122">
        <f t="shared" si="54"/>
        <v>100000</v>
      </c>
      <c r="F393" s="287">
        <f t="shared" si="54"/>
        <v>0</v>
      </c>
      <c r="G393" s="287">
        <f t="shared" si="54"/>
        <v>0</v>
      </c>
      <c r="H393" s="287">
        <f t="shared" si="54"/>
        <v>0</v>
      </c>
      <c r="I393" s="329">
        <v>0</v>
      </c>
      <c r="J393" s="329">
        <v>0</v>
      </c>
    </row>
    <row r="394" spans="1:10" s="131" customFormat="1" ht="14.25" x14ac:dyDescent="0.2">
      <c r="A394" s="124" t="s">
        <v>310</v>
      </c>
      <c r="B394" s="120"/>
      <c r="C394" s="162">
        <v>421</v>
      </c>
      <c r="D394" s="163" t="s">
        <v>97</v>
      </c>
      <c r="E394" s="122">
        <f t="shared" si="54"/>
        <v>100000</v>
      </c>
      <c r="F394" s="287">
        <f t="shared" si="54"/>
        <v>0</v>
      </c>
      <c r="G394" s="287"/>
      <c r="H394" s="287"/>
      <c r="I394" s="329"/>
      <c r="J394" s="329"/>
    </row>
    <row r="395" spans="1:10" s="131" customFormat="1" ht="14.25" hidden="1" x14ac:dyDescent="0.2">
      <c r="A395" s="124" t="s">
        <v>310</v>
      </c>
      <c r="B395" s="124">
        <v>91</v>
      </c>
      <c r="C395" s="164">
        <v>4214</v>
      </c>
      <c r="D395" s="165" t="s">
        <v>249</v>
      </c>
      <c r="E395" s="126">
        <v>100000</v>
      </c>
      <c r="F395" s="290">
        <v>0</v>
      </c>
      <c r="G395" s="290"/>
      <c r="H395" s="290"/>
      <c r="I395" s="329"/>
      <c r="J395" s="329"/>
    </row>
    <row r="396" spans="1:10" s="131" customFormat="1" ht="14.25" x14ac:dyDescent="0.2">
      <c r="A396" s="128"/>
      <c r="B396" s="128"/>
      <c r="C396" s="171"/>
      <c r="D396" s="172"/>
      <c r="E396" s="130"/>
      <c r="F396" s="292"/>
      <c r="G396" s="292"/>
      <c r="H396" s="292"/>
      <c r="I396" s="251"/>
      <c r="J396" s="251"/>
    </row>
    <row r="397" spans="1:10" s="1" customFormat="1" ht="28.5" x14ac:dyDescent="0.25">
      <c r="C397" s="206"/>
      <c r="D397" s="201" t="s">
        <v>244</v>
      </c>
      <c r="E397" s="115"/>
      <c r="F397" s="284"/>
      <c r="G397" s="284"/>
      <c r="H397" s="284"/>
      <c r="I397" s="248"/>
      <c r="J397" s="248"/>
    </row>
    <row r="398" spans="1:10" s="1" customFormat="1" ht="15" x14ac:dyDescent="0.25">
      <c r="C398" s="206"/>
      <c r="D398" s="237" t="s">
        <v>250</v>
      </c>
      <c r="E398" s="117"/>
      <c r="F398" s="285"/>
      <c r="G398" s="285"/>
      <c r="H398" s="285"/>
      <c r="I398" s="249"/>
      <c r="J398" s="249"/>
    </row>
    <row r="399" spans="1:10" s="1" customFormat="1" ht="15" x14ac:dyDescent="0.25">
      <c r="C399" s="206"/>
      <c r="D399" s="271" t="s">
        <v>332</v>
      </c>
      <c r="E399" s="196">
        <f t="shared" ref="E399:H401" si="55">SUM(E400)</f>
        <v>50000</v>
      </c>
      <c r="F399" s="279">
        <f t="shared" si="55"/>
        <v>1000000</v>
      </c>
      <c r="G399" s="279">
        <f t="shared" si="55"/>
        <v>500000</v>
      </c>
      <c r="H399" s="279">
        <f t="shared" si="55"/>
        <v>0</v>
      </c>
      <c r="I399" s="331">
        <f>AVERAGE(G399/F399*100)</f>
        <v>50</v>
      </c>
      <c r="J399" s="331">
        <f>AVERAGE(H399/G399*100)</f>
        <v>0</v>
      </c>
    </row>
    <row r="400" spans="1:10" s="131" customFormat="1" ht="14.25" x14ac:dyDescent="0.2">
      <c r="A400" s="124" t="s">
        <v>345</v>
      </c>
      <c r="B400" s="120"/>
      <c r="C400" s="162">
        <v>42</v>
      </c>
      <c r="D400" s="163" t="s">
        <v>248</v>
      </c>
      <c r="E400" s="122">
        <f t="shared" si="55"/>
        <v>50000</v>
      </c>
      <c r="F400" s="287">
        <f t="shared" si="55"/>
        <v>1000000</v>
      </c>
      <c r="G400" s="287">
        <v>500000</v>
      </c>
      <c r="H400" s="287">
        <f t="shared" si="55"/>
        <v>0</v>
      </c>
      <c r="I400" s="329">
        <f t="shared" ref="I400:J402" si="56">AVERAGE(G400/F400*100)</f>
        <v>50</v>
      </c>
      <c r="J400" s="329">
        <f t="shared" si="56"/>
        <v>0</v>
      </c>
    </row>
    <row r="401" spans="1:10" s="131" customFormat="1" ht="14.25" x14ac:dyDescent="0.2">
      <c r="A401" s="124" t="s">
        <v>345</v>
      </c>
      <c r="B401" s="120"/>
      <c r="C401" s="162">
        <v>421</v>
      </c>
      <c r="D401" s="163" t="s">
        <v>97</v>
      </c>
      <c r="E401" s="122">
        <f t="shared" si="55"/>
        <v>50000</v>
      </c>
      <c r="F401" s="287">
        <f t="shared" si="55"/>
        <v>1000000</v>
      </c>
      <c r="G401" s="287"/>
      <c r="H401" s="287"/>
      <c r="I401" s="329">
        <f t="shared" si="56"/>
        <v>0</v>
      </c>
      <c r="J401" s="329"/>
    </row>
    <row r="402" spans="1:10" s="131" customFormat="1" ht="14.25" hidden="1" x14ac:dyDescent="0.2">
      <c r="A402" s="124" t="s">
        <v>345</v>
      </c>
      <c r="B402" s="124">
        <v>92</v>
      </c>
      <c r="C402" s="164">
        <v>4214</v>
      </c>
      <c r="D402" s="165" t="s">
        <v>249</v>
      </c>
      <c r="E402" s="126">
        <v>50000</v>
      </c>
      <c r="F402" s="290">
        <v>1000000</v>
      </c>
      <c r="G402" s="290"/>
      <c r="H402" s="290"/>
      <c r="I402" s="329">
        <f t="shared" si="56"/>
        <v>0</v>
      </c>
      <c r="J402" s="329"/>
    </row>
    <row r="403" spans="1:10" s="131" customFormat="1" ht="14.25" x14ac:dyDescent="0.2">
      <c r="A403" s="128"/>
      <c r="B403" s="128"/>
      <c r="C403" s="171"/>
      <c r="D403" s="172"/>
      <c r="E403" s="130"/>
      <c r="F403" s="292"/>
      <c r="G403" s="292"/>
      <c r="H403" s="292"/>
      <c r="I403" s="251"/>
      <c r="J403" s="251"/>
    </row>
    <row r="404" spans="1:10" s="1" customFormat="1" ht="28.5" x14ac:dyDescent="0.25">
      <c r="C404" s="206"/>
      <c r="D404" s="201" t="s">
        <v>259</v>
      </c>
      <c r="E404" s="115"/>
      <c r="F404" s="284"/>
      <c r="G404" s="284"/>
      <c r="H404" s="284"/>
      <c r="I404" s="248"/>
      <c r="J404" s="248"/>
    </row>
    <row r="405" spans="1:10" s="1" customFormat="1" ht="25.5" x14ac:dyDescent="0.25">
      <c r="C405" s="206"/>
      <c r="D405" s="236" t="s">
        <v>251</v>
      </c>
      <c r="E405" s="117"/>
      <c r="F405" s="285"/>
      <c r="G405" s="285"/>
      <c r="H405" s="285"/>
      <c r="I405" s="249"/>
      <c r="J405" s="249"/>
    </row>
    <row r="406" spans="1:10" s="1" customFormat="1" ht="15" x14ac:dyDescent="0.25">
      <c r="C406" s="206"/>
      <c r="D406" s="272" t="s">
        <v>333</v>
      </c>
      <c r="E406" s="196">
        <f>SUM(E407)</f>
        <v>100000</v>
      </c>
      <c r="F406" s="279">
        <f>SUM(F407+F410)</f>
        <v>800000</v>
      </c>
      <c r="G406" s="279">
        <f>SUM(G407+G410)</f>
        <v>700000</v>
      </c>
      <c r="H406" s="279">
        <f>SUM(H407+H410)</f>
        <v>1200000</v>
      </c>
      <c r="I406" s="331">
        <f>AVERAGE(G406/F406*100)</f>
        <v>87.5</v>
      </c>
      <c r="J406" s="331">
        <f>AVERAGE(H406/G406*100)</f>
        <v>171.42857142857142</v>
      </c>
    </row>
    <row r="407" spans="1:10" s="131" customFormat="1" ht="14.25" x14ac:dyDescent="0.2">
      <c r="A407" s="124" t="s">
        <v>346</v>
      </c>
      <c r="B407" s="120"/>
      <c r="C407" s="162">
        <v>42</v>
      </c>
      <c r="D407" s="163" t="s">
        <v>248</v>
      </c>
      <c r="E407" s="122">
        <f>SUM(E408)</f>
        <v>100000</v>
      </c>
      <c r="F407" s="287">
        <f>SUM(F408)</f>
        <v>650000</v>
      </c>
      <c r="G407" s="287">
        <v>500000</v>
      </c>
      <c r="H407" s="287">
        <v>700000</v>
      </c>
      <c r="I407" s="329">
        <f t="shared" ref="I407:J412" si="57">AVERAGE(G407/F407*100)</f>
        <v>76.923076923076934</v>
      </c>
      <c r="J407" s="329">
        <f t="shared" si="57"/>
        <v>140</v>
      </c>
    </row>
    <row r="408" spans="1:10" s="131" customFormat="1" ht="14.25" x14ac:dyDescent="0.2">
      <c r="A408" s="124" t="s">
        <v>346</v>
      </c>
      <c r="B408" s="120"/>
      <c r="C408" s="162">
        <v>421</v>
      </c>
      <c r="D408" s="163" t="s">
        <v>97</v>
      </c>
      <c r="E408" s="122">
        <f>SUM(E409)</f>
        <v>100000</v>
      </c>
      <c r="F408" s="287">
        <f>SUM(F409)</f>
        <v>650000</v>
      </c>
      <c r="G408" s="287"/>
      <c r="H408" s="287"/>
      <c r="I408" s="329">
        <f t="shared" si="57"/>
        <v>0</v>
      </c>
      <c r="J408" s="329"/>
    </row>
    <row r="409" spans="1:10" s="131" customFormat="1" ht="14.25" hidden="1" x14ac:dyDescent="0.2">
      <c r="A409" s="124" t="s">
        <v>346</v>
      </c>
      <c r="B409" s="124">
        <v>93</v>
      </c>
      <c r="C409" s="164">
        <v>4213</v>
      </c>
      <c r="D409" s="165" t="s">
        <v>281</v>
      </c>
      <c r="E409" s="126">
        <v>100000</v>
      </c>
      <c r="F409" s="290">
        <v>650000</v>
      </c>
      <c r="G409" s="290"/>
      <c r="H409" s="290"/>
      <c r="I409" s="329">
        <f t="shared" si="57"/>
        <v>0</v>
      </c>
      <c r="J409" s="329"/>
    </row>
    <row r="410" spans="1:10" s="131" customFormat="1" ht="14.25" x14ac:dyDescent="0.2">
      <c r="A410" s="124" t="s">
        <v>346</v>
      </c>
      <c r="B410" s="120"/>
      <c r="C410" s="162">
        <v>45</v>
      </c>
      <c r="D410" s="163" t="s">
        <v>263</v>
      </c>
      <c r="E410" s="122">
        <f>SUM(E411)</f>
        <v>645000</v>
      </c>
      <c r="F410" s="287">
        <f>SUM(F411)</f>
        <v>150000</v>
      </c>
      <c r="G410" s="287">
        <v>200000</v>
      </c>
      <c r="H410" s="287">
        <v>500000</v>
      </c>
      <c r="I410" s="329">
        <f t="shared" si="57"/>
        <v>133.33333333333331</v>
      </c>
      <c r="J410" s="329">
        <f t="shared" si="57"/>
        <v>250</v>
      </c>
    </row>
    <row r="411" spans="1:10" s="131" customFormat="1" ht="14.25" x14ac:dyDescent="0.2">
      <c r="A411" s="124" t="s">
        <v>346</v>
      </c>
      <c r="B411" s="120"/>
      <c r="C411" s="162">
        <v>451</v>
      </c>
      <c r="D411" s="163" t="s">
        <v>103</v>
      </c>
      <c r="E411" s="122">
        <f>SUM(E412)</f>
        <v>645000</v>
      </c>
      <c r="F411" s="287">
        <f>SUM(F412)</f>
        <v>150000</v>
      </c>
      <c r="G411" s="287"/>
      <c r="H411" s="287"/>
      <c r="I411" s="329">
        <f t="shared" si="57"/>
        <v>0</v>
      </c>
      <c r="J411" s="329"/>
    </row>
    <row r="412" spans="1:10" s="131" customFormat="1" ht="14.25" hidden="1" x14ac:dyDescent="0.2">
      <c r="A412" s="124" t="s">
        <v>346</v>
      </c>
      <c r="B412" s="124">
        <v>94</v>
      </c>
      <c r="C412" s="164">
        <v>4511</v>
      </c>
      <c r="D412" s="165" t="s">
        <v>103</v>
      </c>
      <c r="E412" s="126">
        <v>645000</v>
      </c>
      <c r="F412" s="290">
        <v>150000</v>
      </c>
      <c r="G412" s="290"/>
      <c r="H412" s="290"/>
      <c r="I412" s="329">
        <f t="shared" si="57"/>
        <v>0</v>
      </c>
      <c r="J412" s="329"/>
    </row>
    <row r="413" spans="1:10" s="131" customFormat="1" ht="15" thickBot="1" x14ac:dyDescent="0.25">
      <c r="A413" s="128"/>
      <c r="B413" s="128"/>
      <c r="C413" s="171"/>
      <c r="D413" s="172"/>
      <c r="E413" s="130"/>
      <c r="F413" s="292"/>
      <c r="G413" s="292"/>
      <c r="H413" s="292"/>
      <c r="I413" s="251"/>
      <c r="J413" s="251"/>
    </row>
    <row r="414" spans="1:10" s="111" customFormat="1" ht="16.5" thickBot="1" x14ac:dyDescent="0.3">
      <c r="A414" s="902" t="s">
        <v>282</v>
      </c>
      <c r="B414" s="903"/>
      <c r="C414" s="903"/>
      <c r="D414" s="903"/>
      <c r="E414" s="220">
        <f>SUM(E418+E431+E438+E458+E465+E472)</f>
        <v>1645000</v>
      </c>
      <c r="F414" s="315">
        <f>SUM(F418+F431+F438+F448+F458+F465+F472)</f>
        <v>3510000</v>
      </c>
      <c r="G414" s="315">
        <f>SUM(G418+G431+G438+G448+G458+G465+G472)</f>
        <v>1380000</v>
      </c>
      <c r="H414" s="315">
        <f>SUM(H418+H431+H438+H448+H458+H465+H472)</f>
        <v>1570000</v>
      </c>
      <c r="I414" s="247">
        <f>AVERAGE(G414/F414*100)</f>
        <v>39.316239316239319</v>
      </c>
      <c r="J414" s="247">
        <f>AVERAGE(H414/G414*100)</f>
        <v>113.76811594202898</v>
      </c>
    </row>
    <row r="415" spans="1:10" s="123" customFormat="1" ht="15" x14ac:dyDescent="0.25">
      <c r="C415" s="221"/>
      <c r="D415" s="211"/>
      <c r="E415" s="194"/>
      <c r="F415" s="305"/>
      <c r="G415" s="305"/>
      <c r="H415" s="305"/>
      <c r="I415" s="246"/>
      <c r="J415" s="246"/>
    </row>
    <row r="416" spans="1:10" s="98" customFormat="1" ht="28.5" x14ac:dyDescent="0.25">
      <c r="A416" s="127"/>
      <c r="C416" s="193"/>
      <c r="D416" s="201" t="s">
        <v>244</v>
      </c>
      <c r="E416" s="115"/>
      <c r="F416" s="284"/>
      <c r="G416" s="284"/>
      <c r="H416" s="284"/>
      <c r="I416" s="256"/>
      <c r="J416" s="256"/>
    </row>
    <row r="417" spans="1:10" s="1" customFormat="1" ht="14.25" customHeight="1" x14ac:dyDescent="0.25">
      <c r="C417" s="206"/>
      <c r="D417" s="237" t="s">
        <v>193</v>
      </c>
      <c r="E417" s="214"/>
      <c r="F417" s="285"/>
      <c r="G417" s="313"/>
      <c r="H417" s="313"/>
      <c r="I417" s="257"/>
      <c r="J417" s="257"/>
    </row>
    <row r="418" spans="1:10" s="1" customFormat="1" ht="15" x14ac:dyDescent="0.25">
      <c r="C418" s="206"/>
      <c r="D418" s="272" t="s">
        <v>334</v>
      </c>
      <c r="E418" s="196">
        <f>SUM(E419+E424)</f>
        <v>0</v>
      </c>
      <c r="F418" s="279">
        <f>SUM(F419+F424)</f>
        <v>160000</v>
      </c>
      <c r="G418" s="279">
        <f>SUM(G419+G424)</f>
        <v>150000</v>
      </c>
      <c r="H418" s="279">
        <f>SUM(H419+H424)</f>
        <v>100000</v>
      </c>
      <c r="I418" s="331">
        <f>AVERAGE(G418/F418*100)</f>
        <v>93.75</v>
      </c>
      <c r="J418" s="331">
        <f>AVERAGE(H418/G418*100)</f>
        <v>66.666666666666657</v>
      </c>
    </row>
    <row r="419" spans="1:10" s="131" customFormat="1" ht="14.25" x14ac:dyDescent="0.2">
      <c r="A419" s="124" t="s">
        <v>311</v>
      </c>
      <c r="B419" s="120"/>
      <c r="C419" s="162">
        <v>32</v>
      </c>
      <c r="D419" s="163" t="s">
        <v>47</v>
      </c>
      <c r="E419" s="122">
        <f>SUM(E420+E422)</f>
        <v>0</v>
      </c>
      <c r="F419" s="287">
        <f>SUM(F420+F422)</f>
        <v>85000</v>
      </c>
      <c r="G419" s="287">
        <v>50000</v>
      </c>
      <c r="H419" s="287">
        <v>50000</v>
      </c>
      <c r="I419" s="329">
        <f t="shared" ref="I419:J426" si="58">AVERAGE(G419/F419*100)</f>
        <v>58.82352941176471</v>
      </c>
      <c r="J419" s="329">
        <f t="shared" si="58"/>
        <v>100</v>
      </c>
    </row>
    <row r="420" spans="1:10" s="131" customFormat="1" ht="14.25" x14ac:dyDescent="0.2">
      <c r="A420" s="124" t="s">
        <v>311</v>
      </c>
      <c r="B420" s="120"/>
      <c r="C420" s="162">
        <v>322</v>
      </c>
      <c r="D420" s="163" t="s">
        <v>52</v>
      </c>
      <c r="E420" s="122">
        <f>SUM(E421)</f>
        <v>0</v>
      </c>
      <c r="F420" s="287">
        <f>SUM(F421)</f>
        <v>15000</v>
      </c>
      <c r="G420" s="287"/>
      <c r="H420" s="287"/>
      <c r="I420" s="329">
        <f t="shared" si="58"/>
        <v>0</v>
      </c>
      <c r="J420" s="329"/>
    </row>
    <row r="421" spans="1:10" s="131" customFormat="1" ht="14.25" hidden="1" x14ac:dyDescent="0.2">
      <c r="A421" s="124" t="s">
        <v>311</v>
      </c>
      <c r="B421" s="233">
        <v>95</v>
      </c>
      <c r="C421" s="164">
        <v>3224</v>
      </c>
      <c r="D421" s="165" t="s">
        <v>187</v>
      </c>
      <c r="E421" s="222">
        <v>0</v>
      </c>
      <c r="F421" s="290">
        <v>15000</v>
      </c>
      <c r="G421" s="290"/>
      <c r="H421" s="290"/>
      <c r="I421" s="329">
        <f t="shared" si="58"/>
        <v>0</v>
      </c>
      <c r="J421" s="329"/>
    </row>
    <row r="422" spans="1:10" s="131" customFormat="1" ht="14.25" x14ac:dyDescent="0.2">
      <c r="A422" s="124" t="s">
        <v>311</v>
      </c>
      <c r="B422" s="120"/>
      <c r="C422" s="162">
        <v>323</v>
      </c>
      <c r="D422" s="163" t="s">
        <v>56</v>
      </c>
      <c r="E422" s="122">
        <f>SUM(E423)</f>
        <v>0</v>
      </c>
      <c r="F422" s="287">
        <f>SUM(F423)</f>
        <v>70000</v>
      </c>
      <c r="G422" s="287"/>
      <c r="H422" s="287"/>
      <c r="I422" s="329">
        <f t="shared" si="58"/>
        <v>0</v>
      </c>
      <c r="J422" s="329"/>
    </row>
    <row r="423" spans="1:10" s="131" customFormat="1" ht="14.25" hidden="1" x14ac:dyDescent="0.2">
      <c r="A423" s="124" t="s">
        <v>311</v>
      </c>
      <c r="B423" s="124">
        <v>96</v>
      </c>
      <c r="C423" s="164">
        <v>3232</v>
      </c>
      <c r="D423" s="165" t="s">
        <v>240</v>
      </c>
      <c r="E423" s="126">
        <v>0</v>
      </c>
      <c r="F423" s="290">
        <v>70000</v>
      </c>
      <c r="G423" s="290"/>
      <c r="H423" s="290"/>
      <c r="I423" s="329">
        <f t="shared" si="58"/>
        <v>0</v>
      </c>
      <c r="J423" s="329"/>
    </row>
    <row r="424" spans="1:10" s="131" customFormat="1" ht="14.25" x14ac:dyDescent="0.2">
      <c r="A424" s="124" t="s">
        <v>311</v>
      </c>
      <c r="B424" s="120"/>
      <c r="C424" s="162">
        <v>42</v>
      </c>
      <c r="D424" s="163" t="s">
        <v>248</v>
      </c>
      <c r="E424" s="122">
        <f>SUM(E425)</f>
        <v>0</v>
      </c>
      <c r="F424" s="287">
        <f>SUM(F425)</f>
        <v>75000</v>
      </c>
      <c r="G424" s="287">
        <v>100000</v>
      </c>
      <c r="H424" s="287">
        <v>50000</v>
      </c>
      <c r="I424" s="329">
        <f t="shared" si="58"/>
        <v>133.33333333333331</v>
      </c>
      <c r="J424" s="329">
        <f t="shared" si="58"/>
        <v>50</v>
      </c>
    </row>
    <row r="425" spans="1:10" s="131" customFormat="1" ht="14.25" x14ac:dyDescent="0.2">
      <c r="A425" s="124" t="s">
        <v>311</v>
      </c>
      <c r="B425" s="120"/>
      <c r="C425" s="162">
        <v>422</v>
      </c>
      <c r="D425" s="163" t="s">
        <v>99</v>
      </c>
      <c r="E425" s="122">
        <f>SUM(E426)</f>
        <v>0</v>
      </c>
      <c r="F425" s="287">
        <f>SUM(F426)</f>
        <v>75000</v>
      </c>
      <c r="G425" s="287"/>
      <c r="H425" s="287"/>
      <c r="I425" s="329">
        <f t="shared" si="58"/>
        <v>0</v>
      </c>
      <c r="J425" s="329"/>
    </row>
    <row r="426" spans="1:10" s="131" customFormat="1" ht="14.25" hidden="1" x14ac:dyDescent="0.2">
      <c r="A426" s="124" t="s">
        <v>311</v>
      </c>
      <c r="B426" s="124">
        <v>97</v>
      </c>
      <c r="C426" s="164">
        <v>4227</v>
      </c>
      <c r="D426" s="165" t="s">
        <v>102</v>
      </c>
      <c r="E426" s="126">
        <v>0</v>
      </c>
      <c r="F426" s="290">
        <v>75000</v>
      </c>
      <c r="G426" s="290"/>
      <c r="H426" s="290"/>
      <c r="I426" s="329">
        <f t="shared" si="58"/>
        <v>0</v>
      </c>
      <c r="J426" s="329"/>
    </row>
    <row r="427" spans="1:10" s="131" customFormat="1" ht="14.25" x14ac:dyDescent="0.2">
      <c r="A427" s="128"/>
      <c r="B427" s="128"/>
      <c r="C427" s="171"/>
      <c r="D427" s="172"/>
      <c r="E427" s="130"/>
      <c r="F427" s="292"/>
      <c r="G427" s="292"/>
      <c r="H427" s="292"/>
      <c r="I427" s="251"/>
      <c r="J427" s="251"/>
    </row>
    <row r="428" spans="1:10" s="127" customFormat="1" ht="15" x14ac:dyDescent="0.2">
      <c r="C428" s="193"/>
      <c r="D428" s="217"/>
      <c r="E428" s="218"/>
      <c r="F428" s="314"/>
      <c r="G428" s="314"/>
      <c r="H428" s="314"/>
      <c r="I428" s="246"/>
      <c r="J428" s="246"/>
    </row>
    <row r="429" spans="1:10" s="98" customFormat="1" ht="30" customHeight="1" x14ac:dyDescent="0.25">
      <c r="A429" s="127"/>
      <c r="C429" s="193"/>
      <c r="D429" s="201" t="s">
        <v>244</v>
      </c>
      <c r="E429" s="115"/>
      <c r="F429" s="284"/>
      <c r="G429" s="284"/>
      <c r="H429" s="284"/>
      <c r="I429" s="256"/>
      <c r="J429" s="256"/>
    </row>
    <row r="430" spans="1:10" s="1" customFormat="1" ht="14.25" customHeight="1" x14ac:dyDescent="0.25">
      <c r="C430" s="206"/>
      <c r="D430" s="237" t="s">
        <v>252</v>
      </c>
      <c r="E430" s="214"/>
      <c r="F430" s="285"/>
      <c r="G430" s="313"/>
      <c r="H430" s="313"/>
      <c r="I430" s="257"/>
      <c r="J430" s="257"/>
    </row>
    <row r="431" spans="1:10" s="1" customFormat="1" ht="15" x14ac:dyDescent="0.25">
      <c r="C431" s="206"/>
      <c r="D431" s="271" t="s">
        <v>335</v>
      </c>
      <c r="E431" s="196">
        <f t="shared" ref="E431:H433" si="59">SUM(E432)</f>
        <v>350000</v>
      </c>
      <c r="F431" s="279">
        <f t="shared" si="59"/>
        <v>1000000</v>
      </c>
      <c r="G431" s="279">
        <f t="shared" si="59"/>
        <v>500000</v>
      </c>
      <c r="H431" s="279">
        <f t="shared" si="59"/>
        <v>200000</v>
      </c>
      <c r="I431" s="331">
        <f>AVERAGE(G431/F431*100)</f>
        <v>50</v>
      </c>
      <c r="J431" s="331">
        <f>AVERAGE(H431/G431*100)</f>
        <v>40</v>
      </c>
    </row>
    <row r="432" spans="1:10" s="131" customFormat="1" ht="14.25" x14ac:dyDescent="0.2">
      <c r="A432" s="124" t="s">
        <v>347</v>
      </c>
      <c r="B432" s="120"/>
      <c r="C432" s="162">
        <v>42</v>
      </c>
      <c r="D432" s="163" t="s">
        <v>248</v>
      </c>
      <c r="E432" s="122">
        <f t="shared" si="59"/>
        <v>350000</v>
      </c>
      <c r="F432" s="287">
        <f t="shared" si="59"/>
        <v>1000000</v>
      </c>
      <c r="G432" s="287">
        <v>500000</v>
      </c>
      <c r="H432" s="287">
        <v>200000</v>
      </c>
      <c r="I432" s="329">
        <f t="shared" ref="I432:J434" si="60">AVERAGE(G432/F432*100)</f>
        <v>50</v>
      </c>
      <c r="J432" s="329">
        <f t="shared" si="60"/>
        <v>40</v>
      </c>
    </row>
    <row r="433" spans="1:10" s="131" customFormat="1" ht="14.25" x14ac:dyDescent="0.2">
      <c r="A433" s="124" t="s">
        <v>347</v>
      </c>
      <c r="B433" s="120"/>
      <c r="C433" s="162">
        <v>421</v>
      </c>
      <c r="D433" s="163" t="s">
        <v>97</v>
      </c>
      <c r="E433" s="122">
        <f t="shared" si="59"/>
        <v>350000</v>
      </c>
      <c r="F433" s="287">
        <f t="shared" si="59"/>
        <v>1000000</v>
      </c>
      <c r="G433" s="287"/>
      <c r="H433" s="287"/>
      <c r="I433" s="329">
        <f t="shared" si="60"/>
        <v>0</v>
      </c>
      <c r="J433" s="329"/>
    </row>
    <row r="434" spans="1:10" s="131" customFormat="1" ht="14.25" hidden="1" x14ac:dyDescent="0.2">
      <c r="A434" s="124" t="s">
        <v>347</v>
      </c>
      <c r="B434" s="124">
        <v>98</v>
      </c>
      <c r="C434" s="164">
        <v>4212</v>
      </c>
      <c r="D434" s="165" t="s">
        <v>98</v>
      </c>
      <c r="E434" s="126">
        <v>350000</v>
      </c>
      <c r="F434" s="290">
        <v>1000000</v>
      </c>
      <c r="G434" s="290"/>
      <c r="H434" s="290"/>
      <c r="I434" s="329">
        <f t="shared" si="60"/>
        <v>0</v>
      </c>
      <c r="J434" s="329"/>
    </row>
    <row r="435" spans="1:10" s="131" customFormat="1" ht="14.25" x14ac:dyDescent="0.2">
      <c r="A435" s="128"/>
      <c r="B435" s="128"/>
      <c r="C435" s="171"/>
      <c r="D435" s="172"/>
      <c r="E435" s="130"/>
      <c r="F435" s="292"/>
      <c r="G435" s="292"/>
      <c r="H435" s="292"/>
      <c r="I435" s="251"/>
      <c r="J435" s="251"/>
    </row>
    <row r="436" spans="1:10" s="1" customFormat="1" ht="15" x14ac:dyDescent="0.25">
      <c r="C436" s="206"/>
      <c r="D436" s="212" t="s">
        <v>340</v>
      </c>
      <c r="E436" s="115"/>
      <c r="F436" s="284"/>
      <c r="G436" s="284"/>
      <c r="H436" s="284"/>
      <c r="I436" s="256"/>
      <c r="J436" s="256"/>
    </row>
    <row r="437" spans="1:10" s="1" customFormat="1" ht="14.25" customHeight="1" x14ac:dyDescent="0.25">
      <c r="C437" s="206"/>
      <c r="D437" s="237" t="s">
        <v>193</v>
      </c>
      <c r="E437" s="117"/>
      <c r="F437" s="285"/>
      <c r="G437" s="313"/>
      <c r="H437" s="285"/>
      <c r="I437" s="257"/>
      <c r="J437" s="257"/>
    </row>
    <row r="438" spans="1:10" s="1" customFormat="1" ht="15" x14ac:dyDescent="0.25">
      <c r="C438" s="206"/>
      <c r="D438" s="272" t="s">
        <v>336</v>
      </c>
      <c r="E438" s="196">
        <f>SUM(E439+E442)</f>
        <v>645000</v>
      </c>
      <c r="F438" s="279">
        <f>SUM(F439+F442)</f>
        <v>1300000</v>
      </c>
      <c r="G438" s="279">
        <f>SUM(G439+G442)</f>
        <v>150000</v>
      </c>
      <c r="H438" s="279">
        <f>SUM(H439+H442)</f>
        <v>10000</v>
      </c>
      <c r="I438" s="331">
        <f>AVERAGE(G438/F438*100)</f>
        <v>11.538461538461538</v>
      </c>
      <c r="J438" s="331">
        <f>AVERAGE(H438/G438*100)</f>
        <v>6.666666666666667</v>
      </c>
    </row>
    <row r="439" spans="1:10" s="131" customFormat="1" ht="14.25" x14ac:dyDescent="0.2">
      <c r="A439" s="124" t="s">
        <v>348</v>
      </c>
      <c r="B439" s="120"/>
      <c r="C439" s="162">
        <v>32</v>
      </c>
      <c r="D439" s="163" t="s">
        <v>47</v>
      </c>
      <c r="E439" s="122">
        <f>SUM(E440)</f>
        <v>0</v>
      </c>
      <c r="F439" s="287">
        <f>SUM(F440)</f>
        <v>300000</v>
      </c>
      <c r="G439" s="287">
        <v>50000</v>
      </c>
      <c r="H439" s="287">
        <v>10000</v>
      </c>
      <c r="I439" s="329">
        <f t="shared" ref="I439:J444" si="61">AVERAGE(G439/F439*100)</f>
        <v>16.666666666666664</v>
      </c>
      <c r="J439" s="329">
        <f t="shared" si="61"/>
        <v>20</v>
      </c>
    </row>
    <row r="440" spans="1:10" s="131" customFormat="1" ht="14.25" x14ac:dyDescent="0.2">
      <c r="A440" s="124" t="s">
        <v>348</v>
      </c>
      <c r="B440" s="120"/>
      <c r="C440" s="162">
        <v>323</v>
      </c>
      <c r="D440" s="163" t="s">
        <v>56</v>
      </c>
      <c r="E440" s="122">
        <f>SUM(E441)</f>
        <v>0</v>
      </c>
      <c r="F440" s="287">
        <f>SUM(F441)</f>
        <v>300000</v>
      </c>
      <c r="G440" s="287"/>
      <c r="H440" s="287"/>
      <c r="I440" s="329">
        <f t="shared" si="61"/>
        <v>0</v>
      </c>
      <c r="J440" s="329"/>
    </row>
    <row r="441" spans="1:10" s="131" customFormat="1" ht="14.25" hidden="1" x14ac:dyDescent="0.2">
      <c r="A441" s="124" t="s">
        <v>348</v>
      </c>
      <c r="B441" s="124">
        <v>99</v>
      </c>
      <c r="C441" s="164">
        <v>3232</v>
      </c>
      <c r="D441" s="165" t="s">
        <v>240</v>
      </c>
      <c r="E441" s="126">
        <v>0</v>
      </c>
      <c r="F441" s="290">
        <v>300000</v>
      </c>
      <c r="G441" s="290"/>
      <c r="H441" s="290"/>
      <c r="I441" s="329">
        <f t="shared" si="61"/>
        <v>0</v>
      </c>
      <c r="J441" s="329"/>
    </row>
    <row r="442" spans="1:10" s="131" customFormat="1" ht="14.25" x14ac:dyDescent="0.2">
      <c r="A442" s="124" t="s">
        <v>348</v>
      </c>
      <c r="B442" s="120"/>
      <c r="C442" s="162">
        <v>45</v>
      </c>
      <c r="D442" s="163" t="s">
        <v>263</v>
      </c>
      <c r="E442" s="122">
        <f t="shared" ref="E442:H443" si="62">SUM(E443)</f>
        <v>645000</v>
      </c>
      <c r="F442" s="287">
        <f t="shared" si="62"/>
        <v>1000000</v>
      </c>
      <c r="G442" s="287">
        <v>100000</v>
      </c>
      <c r="H442" s="287">
        <f t="shared" si="62"/>
        <v>0</v>
      </c>
      <c r="I442" s="329">
        <f t="shared" si="61"/>
        <v>10</v>
      </c>
      <c r="J442" s="329">
        <f t="shared" si="61"/>
        <v>0</v>
      </c>
    </row>
    <row r="443" spans="1:10" s="131" customFormat="1" ht="14.25" x14ac:dyDescent="0.2">
      <c r="A443" s="124" t="s">
        <v>348</v>
      </c>
      <c r="B443" s="120"/>
      <c r="C443" s="162">
        <v>451</v>
      </c>
      <c r="D443" s="163" t="s">
        <v>103</v>
      </c>
      <c r="E443" s="122">
        <f t="shared" si="62"/>
        <v>645000</v>
      </c>
      <c r="F443" s="287">
        <f t="shared" si="62"/>
        <v>1000000</v>
      </c>
      <c r="G443" s="287"/>
      <c r="H443" s="287"/>
      <c r="I443" s="329">
        <f t="shared" si="61"/>
        <v>0</v>
      </c>
      <c r="J443" s="329"/>
    </row>
    <row r="444" spans="1:10" s="131" customFormat="1" ht="14.25" hidden="1" x14ac:dyDescent="0.2">
      <c r="A444" s="124" t="s">
        <v>348</v>
      </c>
      <c r="B444" s="124">
        <v>100</v>
      </c>
      <c r="C444" s="164">
        <v>4511</v>
      </c>
      <c r="D444" s="165" t="s">
        <v>103</v>
      </c>
      <c r="E444" s="126">
        <v>645000</v>
      </c>
      <c r="F444" s="290">
        <v>1000000</v>
      </c>
      <c r="G444" s="290"/>
      <c r="H444" s="290"/>
      <c r="I444" s="329">
        <f t="shared" si="61"/>
        <v>0</v>
      </c>
      <c r="J444" s="329"/>
    </row>
    <row r="445" spans="1:10" s="131" customFormat="1" ht="14.25" x14ac:dyDescent="0.2">
      <c r="A445" s="128"/>
      <c r="B445" s="128"/>
      <c r="C445" s="171"/>
      <c r="D445" s="172"/>
      <c r="E445" s="130"/>
      <c r="F445" s="292"/>
      <c r="G445" s="292"/>
      <c r="H445" s="292"/>
      <c r="I445" s="251"/>
      <c r="J445" s="251"/>
    </row>
    <row r="446" spans="1:10" s="98" customFormat="1" ht="30" customHeight="1" x14ac:dyDescent="0.25">
      <c r="A446" s="127"/>
      <c r="C446" s="193"/>
      <c r="D446" s="201" t="s">
        <v>244</v>
      </c>
      <c r="E446" s="115"/>
      <c r="F446" s="284"/>
      <c r="G446" s="284"/>
      <c r="H446" s="284"/>
      <c r="I446" s="256"/>
      <c r="J446" s="256"/>
    </row>
    <row r="447" spans="1:10" s="1" customFormat="1" ht="14.25" customHeight="1" x14ac:dyDescent="0.25">
      <c r="C447" s="206"/>
      <c r="D447" s="237" t="s">
        <v>252</v>
      </c>
      <c r="E447" s="214"/>
      <c r="F447" s="285"/>
      <c r="G447" s="313"/>
      <c r="H447" s="313"/>
      <c r="I447" s="257"/>
      <c r="J447" s="257"/>
    </row>
    <row r="448" spans="1:10" s="1" customFormat="1" ht="15" x14ac:dyDescent="0.25">
      <c r="C448" s="206"/>
      <c r="D448" s="271" t="s">
        <v>350</v>
      </c>
      <c r="E448" s="196">
        <f>SUM(E449+E452)</f>
        <v>0</v>
      </c>
      <c r="F448" s="279">
        <f>SUM(F449+F452)</f>
        <v>300000</v>
      </c>
      <c r="G448" s="279">
        <f>SUM(G449+G452)</f>
        <v>100000</v>
      </c>
      <c r="H448" s="279">
        <f>SUM(H449+H452)</f>
        <v>1000000</v>
      </c>
      <c r="I448" s="331">
        <f>AVERAGE(G448/F448*100)</f>
        <v>33.333333333333329</v>
      </c>
      <c r="J448" s="331">
        <f>AVERAGE(H448/G448*100)</f>
        <v>1000</v>
      </c>
    </row>
    <row r="449" spans="1:10" s="149" customFormat="1" ht="15" x14ac:dyDescent="0.2">
      <c r="A449" s="233" t="s">
        <v>349</v>
      </c>
      <c r="B449" s="120"/>
      <c r="C449" s="162">
        <v>41</v>
      </c>
      <c r="D449" s="163" t="s">
        <v>246</v>
      </c>
      <c r="E449" s="122">
        <f t="shared" ref="E449:H450" si="63">SUM(E450)</f>
        <v>0</v>
      </c>
      <c r="F449" s="287">
        <f t="shared" si="63"/>
        <v>250000</v>
      </c>
      <c r="G449" s="287">
        <f t="shared" si="63"/>
        <v>0</v>
      </c>
      <c r="H449" s="287">
        <f t="shared" si="63"/>
        <v>0</v>
      </c>
      <c r="I449" s="329">
        <f t="shared" ref="I449:J454" si="64">AVERAGE(G449/F449*100)</f>
        <v>0</v>
      </c>
      <c r="J449" s="329"/>
    </row>
    <row r="450" spans="1:10" s="131" customFormat="1" ht="14.25" x14ac:dyDescent="0.2">
      <c r="A450" s="233" t="s">
        <v>349</v>
      </c>
      <c r="B450" s="120"/>
      <c r="C450" s="162">
        <v>411</v>
      </c>
      <c r="D450" s="163" t="s">
        <v>95</v>
      </c>
      <c r="E450" s="122">
        <f t="shared" si="63"/>
        <v>0</v>
      </c>
      <c r="F450" s="287">
        <f t="shared" si="63"/>
        <v>250000</v>
      </c>
      <c r="G450" s="287"/>
      <c r="H450" s="287"/>
      <c r="I450" s="329">
        <f t="shared" si="64"/>
        <v>0</v>
      </c>
      <c r="J450" s="329"/>
    </row>
    <row r="451" spans="1:10" s="131" customFormat="1" ht="14.25" hidden="1" x14ac:dyDescent="0.2">
      <c r="A451" s="233" t="s">
        <v>349</v>
      </c>
      <c r="B451" s="124">
        <v>101</v>
      </c>
      <c r="C451" s="164">
        <v>4111</v>
      </c>
      <c r="D451" s="165" t="s">
        <v>40</v>
      </c>
      <c r="E451" s="126">
        <v>0</v>
      </c>
      <c r="F451" s="290">
        <v>250000</v>
      </c>
      <c r="G451" s="290"/>
      <c r="H451" s="290"/>
      <c r="I451" s="329">
        <f t="shared" si="64"/>
        <v>0</v>
      </c>
      <c r="J451" s="329"/>
    </row>
    <row r="452" spans="1:10" s="131" customFormat="1" ht="14.25" x14ac:dyDescent="0.2">
      <c r="A452" s="233" t="s">
        <v>349</v>
      </c>
      <c r="B452" s="120"/>
      <c r="C452" s="162">
        <v>42</v>
      </c>
      <c r="D452" s="163" t="s">
        <v>248</v>
      </c>
      <c r="E452" s="122">
        <f>SUM(E453)</f>
        <v>0</v>
      </c>
      <c r="F452" s="287">
        <f>SUM(F453)</f>
        <v>50000</v>
      </c>
      <c r="G452" s="287">
        <v>100000</v>
      </c>
      <c r="H452" s="287">
        <v>1000000</v>
      </c>
      <c r="I452" s="329">
        <f t="shared" si="64"/>
        <v>200</v>
      </c>
      <c r="J452" s="329">
        <f t="shared" si="64"/>
        <v>1000</v>
      </c>
    </row>
    <row r="453" spans="1:10" s="131" customFormat="1" ht="14.25" x14ac:dyDescent="0.2">
      <c r="A453" s="233" t="s">
        <v>349</v>
      </c>
      <c r="B453" s="120"/>
      <c r="C453" s="162">
        <v>421</v>
      </c>
      <c r="D453" s="163" t="s">
        <v>97</v>
      </c>
      <c r="E453" s="122">
        <f>SUM(E454)</f>
        <v>0</v>
      </c>
      <c r="F453" s="287">
        <f>SUM(F454)</f>
        <v>50000</v>
      </c>
      <c r="G453" s="287"/>
      <c r="H453" s="287"/>
      <c r="I453" s="329">
        <f t="shared" si="64"/>
        <v>0</v>
      </c>
      <c r="J453" s="329"/>
    </row>
    <row r="454" spans="1:10" s="131" customFormat="1" ht="14.25" hidden="1" x14ac:dyDescent="0.2">
      <c r="A454" s="233" t="s">
        <v>349</v>
      </c>
      <c r="B454" s="124">
        <v>102</v>
      </c>
      <c r="C454" s="164">
        <v>4214</v>
      </c>
      <c r="D454" s="165" t="s">
        <v>249</v>
      </c>
      <c r="E454" s="126">
        <v>0</v>
      </c>
      <c r="F454" s="290">
        <v>50000</v>
      </c>
      <c r="G454" s="290"/>
      <c r="H454" s="290"/>
      <c r="I454" s="329">
        <f t="shared" si="64"/>
        <v>0</v>
      </c>
      <c r="J454" s="329"/>
    </row>
    <row r="455" spans="1:10" s="131" customFormat="1" ht="14.25" x14ac:dyDescent="0.2">
      <c r="A455" s="128"/>
      <c r="B455" s="128"/>
      <c r="C455" s="171"/>
      <c r="D455" s="172"/>
      <c r="E455" s="130"/>
      <c r="F455" s="292"/>
      <c r="G455" s="292"/>
      <c r="H455" s="292"/>
      <c r="I455" s="251"/>
      <c r="J455" s="251"/>
    </row>
    <row r="456" spans="1:10" s="1" customFormat="1" ht="28.5" x14ac:dyDescent="0.25">
      <c r="C456" s="206"/>
      <c r="D456" s="201" t="s">
        <v>253</v>
      </c>
      <c r="E456" s="115"/>
      <c r="F456" s="284"/>
      <c r="G456" s="284"/>
      <c r="H456" s="284"/>
      <c r="I456" s="256"/>
      <c r="J456" s="256"/>
    </row>
    <row r="457" spans="1:10" s="1" customFormat="1" ht="15" x14ac:dyDescent="0.25">
      <c r="C457" s="206"/>
      <c r="D457" s="237" t="s">
        <v>254</v>
      </c>
      <c r="E457" s="117"/>
      <c r="F457" s="285"/>
      <c r="G457" s="313"/>
      <c r="H457" s="313"/>
      <c r="I457" s="257"/>
      <c r="J457" s="257"/>
    </row>
    <row r="458" spans="1:10" s="1" customFormat="1" ht="15" x14ac:dyDescent="0.25">
      <c r="C458" s="206"/>
      <c r="D458" s="272" t="s">
        <v>351</v>
      </c>
      <c r="E458" s="196">
        <f t="shared" ref="E458:H460" si="65">SUM(E459)</f>
        <v>500000</v>
      </c>
      <c r="F458" s="279">
        <f t="shared" si="65"/>
        <v>150000</v>
      </c>
      <c r="G458" s="279">
        <f t="shared" si="65"/>
        <v>100000</v>
      </c>
      <c r="H458" s="279">
        <f t="shared" si="65"/>
        <v>100000</v>
      </c>
      <c r="I458" s="331">
        <f>AVERAGE(G458/F458*100)</f>
        <v>66.666666666666657</v>
      </c>
      <c r="J458" s="331">
        <f>AVERAGE(H458/G458*100)</f>
        <v>100</v>
      </c>
    </row>
    <row r="459" spans="1:10" s="131" customFormat="1" ht="14.25" x14ac:dyDescent="0.2">
      <c r="A459" s="233" t="s">
        <v>352</v>
      </c>
      <c r="B459" s="120"/>
      <c r="C459" s="162">
        <v>42</v>
      </c>
      <c r="D459" s="163" t="s">
        <v>248</v>
      </c>
      <c r="E459" s="122">
        <f t="shared" si="65"/>
        <v>500000</v>
      </c>
      <c r="F459" s="287">
        <f t="shared" si="65"/>
        <v>150000</v>
      </c>
      <c r="G459" s="287">
        <v>100000</v>
      </c>
      <c r="H459" s="287">
        <v>100000</v>
      </c>
      <c r="I459" s="329">
        <f t="shared" ref="I459:J461" si="66">AVERAGE(G459/F459*100)</f>
        <v>66.666666666666657</v>
      </c>
      <c r="J459" s="329">
        <f t="shared" si="66"/>
        <v>100</v>
      </c>
    </row>
    <row r="460" spans="1:10" s="131" customFormat="1" ht="14.25" x14ac:dyDescent="0.2">
      <c r="A460" s="233" t="s">
        <v>352</v>
      </c>
      <c r="B460" s="120"/>
      <c r="C460" s="162">
        <v>421</v>
      </c>
      <c r="D460" s="163" t="s">
        <v>97</v>
      </c>
      <c r="E460" s="122">
        <f t="shared" si="65"/>
        <v>500000</v>
      </c>
      <c r="F460" s="287">
        <f t="shared" si="65"/>
        <v>150000</v>
      </c>
      <c r="G460" s="287"/>
      <c r="H460" s="287"/>
      <c r="I460" s="329">
        <f t="shared" si="66"/>
        <v>0</v>
      </c>
      <c r="J460" s="329"/>
    </row>
    <row r="461" spans="1:10" s="131" customFormat="1" ht="14.25" hidden="1" x14ac:dyDescent="0.2">
      <c r="A461" s="233" t="s">
        <v>352</v>
      </c>
      <c r="B461" s="124">
        <v>103</v>
      </c>
      <c r="C461" s="164">
        <v>4214</v>
      </c>
      <c r="D461" s="165" t="s">
        <v>249</v>
      </c>
      <c r="E461" s="126">
        <v>500000</v>
      </c>
      <c r="F461" s="290">
        <v>150000</v>
      </c>
      <c r="G461" s="290"/>
      <c r="H461" s="290"/>
      <c r="I461" s="329">
        <f t="shared" si="66"/>
        <v>0</v>
      </c>
      <c r="J461" s="329"/>
    </row>
    <row r="462" spans="1:10" s="131" customFormat="1" ht="14.25" x14ac:dyDescent="0.2">
      <c r="A462" s="223"/>
      <c r="B462" s="128"/>
      <c r="C462" s="171"/>
      <c r="D462" s="172"/>
      <c r="E462" s="130"/>
      <c r="F462" s="292"/>
      <c r="G462" s="292"/>
      <c r="H462" s="292"/>
      <c r="I462" s="251"/>
      <c r="J462" s="251"/>
    </row>
    <row r="463" spans="1:10" s="1" customFormat="1" ht="15" x14ac:dyDescent="0.25">
      <c r="C463" s="206"/>
      <c r="D463" s="212" t="s">
        <v>255</v>
      </c>
      <c r="E463" s="115"/>
      <c r="F463" s="284"/>
      <c r="G463" s="284"/>
      <c r="H463" s="284"/>
      <c r="I463" s="256"/>
      <c r="J463" s="256"/>
    </row>
    <row r="464" spans="1:10" s="1" customFormat="1" ht="14.25" customHeight="1" x14ac:dyDescent="0.25">
      <c r="C464" s="206"/>
      <c r="D464" s="236" t="s">
        <v>287</v>
      </c>
      <c r="E464" s="117"/>
      <c r="F464" s="285"/>
      <c r="G464" s="313"/>
      <c r="H464" s="313"/>
      <c r="I464" s="257"/>
      <c r="J464" s="257"/>
    </row>
    <row r="465" spans="1:10" s="1" customFormat="1" ht="15" x14ac:dyDescent="0.25">
      <c r="C465" s="206"/>
      <c r="D465" s="272" t="s">
        <v>353</v>
      </c>
      <c r="E465" s="196">
        <f t="shared" ref="E465:H467" si="67">SUM(E466)</f>
        <v>50000</v>
      </c>
      <c r="F465" s="279">
        <f t="shared" si="67"/>
        <v>500000</v>
      </c>
      <c r="G465" s="279">
        <f t="shared" si="67"/>
        <v>300000</v>
      </c>
      <c r="H465" s="279">
        <f t="shared" si="67"/>
        <v>100000</v>
      </c>
      <c r="I465" s="331">
        <f>AVERAGE(G465/F465*100)</f>
        <v>60</v>
      </c>
      <c r="J465" s="331">
        <f>AVERAGE(H465/G465*100)</f>
        <v>33.333333333333329</v>
      </c>
    </row>
    <row r="466" spans="1:10" s="131" customFormat="1" ht="14.25" x14ac:dyDescent="0.2">
      <c r="A466" s="233" t="s">
        <v>354</v>
      </c>
      <c r="B466" s="120"/>
      <c r="C466" s="162">
        <v>42</v>
      </c>
      <c r="D466" s="163" t="s">
        <v>248</v>
      </c>
      <c r="E466" s="122">
        <f t="shared" si="67"/>
        <v>50000</v>
      </c>
      <c r="F466" s="287">
        <f t="shared" si="67"/>
        <v>500000</v>
      </c>
      <c r="G466" s="287">
        <v>300000</v>
      </c>
      <c r="H466" s="287">
        <v>100000</v>
      </c>
      <c r="I466" s="329">
        <f t="shared" ref="I466:J468" si="68">AVERAGE(G466/F466*100)</f>
        <v>60</v>
      </c>
      <c r="J466" s="329">
        <f t="shared" si="68"/>
        <v>33.333333333333329</v>
      </c>
    </row>
    <row r="467" spans="1:10" s="131" customFormat="1" ht="14.25" x14ac:dyDescent="0.2">
      <c r="A467" s="233" t="s">
        <v>354</v>
      </c>
      <c r="B467" s="120"/>
      <c r="C467" s="162">
        <v>421</v>
      </c>
      <c r="D467" s="163" t="s">
        <v>97</v>
      </c>
      <c r="E467" s="122">
        <f t="shared" si="67"/>
        <v>50000</v>
      </c>
      <c r="F467" s="287">
        <f t="shared" si="67"/>
        <v>500000</v>
      </c>
      <c r="G467" s="287"/>
      <c r="H467" s="287"/>
      <c r="I467" s="329">
        <f t="shared" si="68"/>
        <v>0</v>
      </c>
      <c r="J467" s="329"/>
    </row>
    <row r="468" spans="1:10" s="131" customFormat="1" ht="14.25" hidden="1" x14ac:dyDescent="0.2">
      <c r="A468" s="233" t="s">
        <v>354</v>
      </c>
      <c r="B468" s="124">
        <v>104</v>
      </c>
      <c r="C468" s="164">
        <v>4214</v>
      </c>
      <c r="D468" s="165" t="s">
        <v>249</v>
      </c>
      <c r="E468" s="126">
        <v>50000</v>
      </c>
      <c r="F468" s="290">
        <v>500000</v>
      </c>
      <c r="G468" s="290"/>
      <c r="H468" s="290"/>
      <c r="I468" s="329">
        <f t="shared" si="68"/>
        <v>0</v>
      </c>
      <c r="J468" s="329"/>
    </row>
    <row r="469" spans="1:10" s="131" customFormat="1" ht="14.25" x14ac:dyDescent="0.2">
      <c r="A469" s="128"/>
      <c r="B469" s="128"/>
      <c r="C469" s="171"/>
      <c r="D469" s="172"/>
      <c r="E469" s="130"/>
      <c r="F469" s="292"/>
      <c r="G469" s="292"/>
      <c r="H469" s="292"/>
      <c r="I469" s="251"/>
      <c r="J469" s="251"/>
    </row>
    <row r="470" spans="1:10" s="1" customFormat="1" ht="15" x14ac:dyDescent="0.25">
      <c r="C470" s="206"/>
      <c r="D470" s="212" t="s">
        <v>255</v>
      </c>
      <c r="E470" s="115"/>
      <c r="F470" s="284"/>
      <c r="G470" s="284"/>
      <c r="H470" s="284"/>
      <c r="I470" s="256"/>
      <c r="J470" s="256"/>
    </row>
    <row r="471" spans="1:10" s="1" customFormat="1" ht="15" x14ac:dyDescent="0.25">
      <c r="C471" s="206"/>
      <c r="D471" s="237" t="s">
        <v>287</v>
      </c>
      <c r="E471" s="117"/>
      <c r="F471" s="285"/>
      <c r="G471" s="313"/>
      <c r="H471" s="313"/>
      <c r="I471" s="257"/>
      <c r="J471" s="257"/>
    </row>
    <row r="472" spans="1:10" s="1" customFormat="1" ht="15" x14ac:dyDescent="0.25">
      <c r="C472" s="206"/>
      <c r="D472" s="271" t="s">
        <v>356</v>
      </c>
      <c r="E472" s="196">
        <f t="shared" ref="E472:H474" si="69">SUM(E473)</f>
        <v>100000</v>
      </c>
      <c r="F472" s="279">
        <f t="shared" si="69"/>
        <v>100000</v>
      </c>
      <c r="G472" s="279">
        <f t="shared" si="69"/>
        <v>80000</v>
      </c>
      <c r="H472" s="279">
        <f t="shared" si="69"/>
        <v>60000</v>
      </c>
      <c r="I472" s="331">
        <f>AVERAGE(G472/F472*100)</f>
        <v>80</v>
      </c>
      <c r="J472" s="331">
        <f>AVERAGE(H472/G472*100)</f>
        <v>75</v>
      </c>
    </row>
    <row r="473" spans="1:10" s="131" customFormat="1" ht="14.25" x14ac:dyDescent="0.2">
      <c r="A473" s="124" t="s">
        <v>355</v>
      </c>
      <c r="B473" s="120"/>
      <c r="C473" s="162">
        <v>42</v>
      </c>
      <c r="D473" s="163" t="s">
        <v>248</v>
      </c>
      <c r="E473" s="122">
        <f t="shared" si="69"/>
        <v>100000</v>
      </c>
      <c r="F473" s="287">
        <f t="shared" si="69"/>
        <v>100000</v>
      </c>
      <c r="G473" s="287">
        <v>80000</v>
      </c>
      <c r="H473" s="287">
        <v>60000</v>
      </c>
      <c r="I473" s="329">
        <f t="shared" ref="I473:J475" si="70">AVERAGE(G473/F473*100)</f>
        <v>80</v>
      </c>
      <c r="J473" s="329">
        <f t="shared" si="70"/>
        <v>75</v>
      </c>
    </row>
    <row r="474" spans="1:10" s="131" customFormat="1" ht="14.25" x14ac:dyDescent="0.2">
      <c r="A474" s="124" t="s">
        <v>355</v>
      </c>
      <c r="B474" s="120"/>
      <c r="C474" s="162">
        <v>421</v>
      </c>
      <c r="D474" s="163" t="s">
        <v>97</v>
      </c>
      <c r="E474" s="122">
        <f t="shared" si="69"/>
        <v>100000</v>
      </c>
      <c r="F474" s="287">
        <f t="shared" si="69"/>
        <v>100000</v>
      </c>
      <c r="G474" s="287"/>
      <c r="H474" s="287"/>
      <c r="I474" s="329">
        <f t="shared" si="70"/>
        <v>0</v>
      </c>
      <c r="J474" s="329"/>
    </row>
    <row r="475" spans="1:10" s="131" customFormat="1" ht="14.25" hidden="1" x14ac:dyDescent="0.2">
      <c r="A475" s="124" t="s">
        <v>355</v>
      </c>
      <c r="B475" s="124">
        <v>105</v>
      </c>
      <c r="C475" s="164">
        <v>42145</v>
      </c>
      <c r="D475" s="165" t="s">
        <v>249</v>
      </c>
      <c r="E475" s="126">
        <v>100000</v>
      </c>
      <c r="F475" s="290">
        <v>100000</v>
      </c>
      <c r="G475" s="290"/>
      <c r="H475" s="290"/>
      <c r="I475" s="329">
        <f t="shared" si="70"/>
        <v>0</v>
      </c>
      <c r="J475" s="329"/>
    </row>
    <row r="476" spans="1:10" s="127" customFormat="1" ht="15" thickBot="1" x14ac:dyDescent="0.25">
      <c r="C476" s="224"/>
      <c r="D476" s="225"/>
      <c r="E476" s="218"/>
      <c r="F476" s="314"/>
      <c r="G476" s="314"/>
      <c r="H476" s="314"/>
      <c r="I476" s="246"/>
      <c r="J476" s="246"/>
    </row>
    <row r="477" spans="1:10" s="209" customFormat="1" ht="17.25" thickBot="1" x14ac:dyDescent="0.3">
      <c r="A477" s="919" t="s">
        <v>256</v>
      </c>
      <c r="B477" s="920"/>
      <c r="C477" s="920"/>
      <c r="D477" s="920"/>
      <c r="E477" s="215">
        <f>SUM(E479)</f>
        <v>0</v>
      </c>
      <c r="F477" s="280">
        <f>SUM(F479)</f>
        <v>50000</v>
      </c>
      <c r="G477" s="280">
        <f>SUM(G479)</f>
        <v>0</v>
      </c>
      <c r="H477" s="280">
        <f>SUM(H479)</f>
        <v>0</v>
      </c>
      <c r="I477" s="245">
        <f>AVERAGE(G477/F477*100)</f>
        <v>0</v>
      </c>
      <c r="J477" s="245">
        <v>0</v>
      </c>
    </row>
    <row r="478" spans="1:10" s="209" customFormat="1" ht="17.25" thickBot="1" x14ac:dyDescent="0.3">
      <c r="A478" s="219"/>
      <c r="B478" s="219"/>
      <c r="C478" s="219"/>
      <c r="D478" s="219"/>
      <c r="E478" s="191"/>
      <c r="F478" s="304"/>
      <c r="G478" s="304"/>
      <c r="H478" s="304"/>
      <c r="I478" s="246"/>
      <c r="J478" s="246"/>
    </row>
    <row r="479" spans="1:10" s="98" customFormat="1" ht="16.5" thickBot="1" x14ac:dyDescent="0.3">
      <c r="A479" s="902" t="s">
        <v>257</v>
      </c>
      <c r="B479" s="903"/>
      <c r="C479" s="903"/>
      <c r="D479" s="903"/>
      <c r="E479" s="110">
        <f>SUM(E483)</f>
        <v>0</v>
      </c>
      <c r="F479" s="282">
        <f>SUM(F483)</f>
        <v>50000</v>
      </c>
      <c r="G479" s="282">
        <f>SUM(G483)</f>
        <v>0</v>
      </c>
      <c r="H479" s="282">
        <f>SUM(H483)</f>
        <v>0</v>
      </c>
      <c r="I479" s="247">
        <f>AVERAGE(G479/F479*100)</f>
        <v>0</v>
      </c>
      <c r="J479" s="247">
        <v>0</v>
      </c>
    </row>
    <row r="480" spans="1:10" s="98" customFormat="1" ht="15.75" x14ac:dyDescent="0.25">
      <c r="A480" s="99"/>
      <c r="B480" s="99"/>
      <c r="C480" s="99"/>
      <c r="D480" s="99"/>
      <c r="E480" s="198"/>
      <c r="F480" s="308"/>
      <c r="G480" s="308"/>
      <c r="H480" s="308"/>
      <c r="I480" s="246"/>
      <c r="J480" s="246"/>
    </row>
    <row r="481" spans="1:10" ht="15" x14ac:dyDescent="0.25">
      <c r="B481" s="1"/>
      <c r="C481" s="206"/>
      <c r="D481" s="201" t="s">
        <v>221</v>
      </c>
      <c r="E481" s="115"/>
      <c r="F481" s="284"/>
      <c r="G481" s="284"/>
      <c r="H481" s="284"/>
      <c r="I481" s="256"/>
      <c r="J481" s="256"/>
    </row>
    <row r="482" spans="1:10" ht="15" x14ac:dyDescent="0.25">
      <c r="B482" s="1"/>
      <c r="C482" s="206"/>
      <c r="D482" s="237" t="s">
        <v>193</v>
      </c>
      <c r="E482" s="117"/>
      <c r="F482" s="285"/>
      <c r="G482" s="285"/>
      <c r="H482" s="285"/>
      <c r="I482" s="257"/>
      <c r="J482" s="257"/>
    </row>
    <row r="483" spans="1:10" ht="15" x14ac:dyDescent="0.25">
      <c r="B483" s="1"/>
      <c r="C483" s="206"/>
      <c r="D483" s="272" t="s">
        <v>337</v>
      </c>
      <c r="E483" s="196">
        <f t="shared" ref="E483:H485" si="71">SUM(E484)</f>
        <v>0</v>
      </c>
      <c r="F483" s="279">
        <f t="shared" si="71"/>
        <v>50000</v>
      </c>
      <c r="G483" s="279">
        <f t="shared" si="71"/>
        <v>0</v>
      </c>
      <c r="H483" s="279">
        <f t="shared" si="71"/>
        <v>0</v>
      </c>
      <c r="I483" s="331">
        <f>AVERAGE(G483/F483*100)</f>
        <v>0</v>
      </c>
      <c r="J483" s="331">
        <v>0</v>
      </c>
    </row>
    <row r="484" spans="1:10" s="131" customFormat="1" ht="14.25" x14ac:dyDescent="0.2">
      <c r="A484" s="150" t="s">
        <v>290</v>
      </c>
      <c r="B484" s="120"/>
      <c r="C484" s="162">
        <v>42</v>
      </c>
      <c r="D484" s="226" t="s">
        <v>248</v>
      </c>
      <c r="E484" s="122">
        <f t="shared" si="71"/>
        <v>0</v>
      </c>
      <c r="F484" s="287">
        <f t="shared" si="71"/>
        <v>50000</v>
      </c>
      <c r="G484" s="287">
        <f t="shared" si="71"/>
        <v>0</v>
      </c>
      <c r="H484" s="287">
        <f t="shared" si="71"/>
        <v>0</v>
      </c>
      <c r="I484" s="329">
        <f>AVERAGE(G484/F484*100)</f>
        <v>0</v>
      </c>
      <c r="J484" s="329">
        <v>0</v>
      </c>
    </row>
    <row r="485" spans="1:10" s="149" customFormat="1" ht="15" x14ac:dyDescent="0.2">
      <c r="A485" s="150" t="s">
        <v>290</v>
      </c>
      <c r="B485" s="120"/>
      <c r="C485" s="162">
        <v>426</v>
      </c>
      <c r="D485" s="163" t="s">
        <v>117</v>
      </c>
      <c r="E485" s="122">
        <f t="shared" si="71"/>
        <v>0</v>
      </c>
      <c r="F485" s="287">
        <f t="shared" si="71"/>
        <v>50000</v>
      </c>
      <c r="G485" s="287"/>
      <c r="H485" s="287"/>
      <c r="I485" s="329">
        <f>AVERAGE(G485/F485*100)</f>
        <v>0</v>
      </c>
      <c r="J485" s="329"/>
    </row>
    <row r="486" spans="1:10" s="149" customFormat="1" ht="15" hidden="1" x14ac:dyDescent="0.2">
      <c r="A486" s="150" t="s">
        <v>290</v>
      </c>
      <c r="B486" s="124">
        <v>106</v>
      </c>
      <c r="C486" s="164">
        <v>42637</v>
      </c>
      <c r="D486" s="165" t="s">
        <v>258</v>
      </c>
      <c r="E486" s="126">
        <v>0</v>
      </c>
      <c r="F486" s="290">
        <v>50000</v>
      </c>
      <c r="G486" s="290"/>
      <c r="H486" s="290"/>
      <c r="I486" s="329">
        <f>AVERAGE(G486/F486*100)</f>
        <v>0</v>
      </c>
      <c r="J486" s="329"/>
    </row>
    <row r="487" spans="1:10" s="149" customFormat="1" ht="15.75" thickBot="1" x14ac:dyDescent="0.25">
      <c r="A487" s="128"/>
      <c r="B487" s="128"/>
      <c r="C487" s="171"/>
      <c r="D487" s="172"/>
      <c r="E487" s="130"/>
      <c r="F487" s="292"/>
      <c r="G487" s="292"/>
      <c r="H487" s="292"/>
      <c r="I487" s="251"/>
      <c r="J487" s="251"/>
    </row>
    <row r="488" spans="1:10" s="209" customFormat="1" ht="17.25" thickBot="1" x14ac:dyDescent="0.3">
      <c r="A488" s="919" t="s">
        <v>283</v>
      </c>
      <c r="B488" s="920"/>
      <c r="C488" s="920"/>
      <c r="D488" s="920"/>
      <c r="E488" s="215">
        <f>SUM(E490)</f>
        <v>0</v>
      </c>
      <c r="F488" s="280">
        <f>SUM(F490)</f>
        <v>10000</v>
      </c>
      <c r="G488" s="280">
        <f>SUM(G490)</f>
        <v>10000</v>
      </c>
      <c r="H488" s="280">
        <f>SUM(H490)</f>
        <v>10000</v>
      </c>
      <c r="I488" s="245">
        <f>AVERAGE(G488/F488*100)</f>
        <v>100</v>
      </c>
      <c r="J488" s="245">
        <f>AVERAGE(H488/G488*100)</f>
        <v>100</v>
      </c>
    </row>
    <row r="489" spans="1:10" s="209" customFormat="1" ht="17.25" thickBot="1" x14ac:dyDescent="0.3">
      <c r="A489" s="219"/>
      <c r="B489" s="219"/>
      <c r="C489" s="219"/>
      <c r="D489" s="219"/>
      <c r="E489" s="191"/>
      <c r="F489" s="304"/>
      <c r="G489" s="304"/>
      <c r="H489" s="304"/>
      <c r="I489" s="246"/>
      <c r="J489" s="246"/>
    </row>
    <row r="490" spans="1:10" s="98" customFormat="1" ht="16.5" thickBot="1" x14ac:dyDescent="0.3">
      <c r="A490" s="902" t="s">
        <v>284</v>
      </c>
      <c r="B490" s="903"/>
      <c r="C490" s="903"/>
      <c r="D490" s="903"/>
      <c r="E490" s="110">
        <f>SUM(E494)</f>
        <v>0</v>
      </c>
      <c r="F490" s="282">
        <f>SUM(F494)</f>
        <v>10000</v>
      </c>
      <c r="G490" s="282">
        <f>SUM(G494)</f>
        <v>10000</v>
      </c>
      <c r="H490" s="282">
        <f>SUM(H494)</f>
        <v>10000</v>
      </c>
      <c r="I490" s="247">
        <f>AVERAGE(G490/F490*100)</f>
        <v>100</v>
      </c>
      <c r="J490" s="247">
        <f>AVERAGE(H490/G490*100)</f>
        <v>100</v>
      </c>
    </row>
    <row r="491" spans="1:10" s="98" customFormat="1" ht="15.75" x14ac:dyDescent="0.25">
      <c r="A491" s="99"/>
      <c r="B491" s="99"/>
      <c r="C491" s="99"/>
      <c r="D491" s="99"/>
      <c r="E491" s="198"/>
      <c r="F491" s="308"/>
      <c r="G491" s="308"/>
      <c r="H491" s="308"/>
      <c r="I491" s="246"/>
      <c r="J491" s="246"/>
    </row>
    <row r="492" spans="1:10" ht="15" x14ac:dyDescent="0.25">
      <c r="B492" s="1"/>
      <c r="C492" s="206"/>
      <c r="D492" s="201" t="s">
        <v>221</v>
      </c>
      <c r="E492" s="115"/>
      <c r="F492" s="284"/>
      <c r="G492" s="284"/>
      <c r="H492" s="284"/>
      <c r="I492" s="256"/>
      <c r="J492" s="256"/>
    </row>
    <row r="493" spans="1:10" ht="15" x14ac:dyDescent="0.25">
      <c r="B493" s="1"/>
      <c r="C493" s="206"/>
      <c r="D493" s="237" t="s">
        <v>195</v>
      </c>
      <c r="E493" s="117"/>
      <c r="F493" s="285"/>
      <c r="G493" s="285"/>
      <c r="H493" s="285"/>
      <c r="I493" s="257"/>
      <c r="J493" s="257"/>
    </row>
    <row r="494" spans="1:10" ht="15" x14ac:dyDescent="0.25">
      <c r="B494" s="1"/>
      <c r="C494" s="206"/>
      <c r="D494" s="272" t="s">
        <v>338</v>
      </c>
      <c r="E494" s="196">
        <f t="shared" ref="E494:H496" si="72">SUM(E495)</f>
        <v>0</v>
      </c>
      <c r="F494" s="279">
        <f t="shared" si="72"/>
        <v>10000</v>
      </c>
      <c r="G494" s="279">
        <f t="shared" si="72"/>
        <v>10000</v>
      </c>
      <c r="H494" s="279">
        <f t="shared" si="72"/>
        <v>10000</v>
      </c>
      <c r="I494" s="331">
        <f>AVERAGE(G494/F494*100)</f>
        <v>100</v>
      </c>
      <c r="J494" s="331">
        <f>AVERAGE(H494/G494*100)</f>
        <v>100</v>
      </c>
    </row>
    <row r="495" spans="1:10" s="131" customFormat="1" ht="14.25" x14ac:dyDescent="0.2">
      <c r="A495" s="150" t="s">
        <v>290</v>
      </c>
      <c r="B495" s="120"/>
      <c r="C495" s="162">
        <v>32</v>
      </c>
      <c r="D495" s="226" t="s">
        <v>47</v>
      </c>
      <c r="E495" s="122">
        <f t="shared" si="72"/>
        <v>0</v>
      </c>
      <c r="F495" s="287">
        <f t="shared" si="72"/>
        <v>10000</v>
      </c>
      <c r="G495" s="287">
        <v>10000</v>
      </c>
      <c r="H495" s="287">
        <v>10000</v>
      </c>
      <c r="I495" s="329">
        <f t="shared" ref="I495:J497" si="73">AVERAGE(G495/F495*100)</f>
        <v>100</v>
      </c>
      <c r="J495" s="329">
        <f t="shared" si="73"/>
        <v>100</v>
      </c>
    </row>
    <row r="496" spans="1:10" s="149" customFormat="1" ht="15" x14ac:dyDescent="0.2">
      <c r="A496" s="150" t="s">
        <v>290</v>
      </c>
      <c r="B496" s="120"/>
      <c r="C496" s="162">
        <v>329</v>
      </c>
      <c r="D496" s="163" t="s">
        <v>65</v>
      </c>
      <c r="E496" s="122">
        <f t="shared" si="72"/>
        <v>0</v>
      </c>
      <c r="F496" s="287">
        <f t="shared" si="72"/>
        <v>10000</v>
      </c>
      <c r="G496" s="287"/>
      <c r="H496" s="287"/>
      <c r="I496" s="329">
        <f t="shared" si="73"/>
        <v>0</v>
      </c>
      <c r="J496" s="329"/>
    </row>
    <row r="497" spans="1:10" s="149" customFormat="1" ht="15" hidden="1" x14ac:dyDescent="0.2">
      <c r="A497" s="150" t="s">
        <v>290</v>
      </c>
      <c r="B497" s="124">
        <v>107</v>
      </c>
      <c r="C497" s="164">
        <v>3294</v>
      </c>
      <c r="D497" s="165" t="s">
        <v>285</v>
      </c>
      <c r="E497" s="126">
        <v>0</v>
      </c>
      <c r="F497" s="290">
        <v>10000</v>
      </c>
      <c r="G497" s="290"/>
      <c r="H497" s="290"/>
      <c r="I497" s="329">
        <f t="shared" si="73"/>
        <v>0</v>
      </c>
      <c r="J497" s="329"/>
    </row>
    <row r="498" spans="1:10" s="149" customFormat="1" ht="15.75" thickBot="1" x14ac:dyDescent="0.25">
      <c r="A498" s="128"/>
      <c r="B498" s="128"/>
      <c r="C498" s="171"/>
      <c r="D498" s="172"/>
      <c r="E498" s="130"/>
      <c r="F498" s="292"/>
      <c r="G498" s="292"/>
      <c r="H498" s="292"/>
      <c r="I498" s="251"/>
      <c r="J498" s="251"/>
    </row>
    <row r="499" spans="1:10" s="319" customFormat="1" ht="23.25" customHeight="1" thickBot="1" x14ac:dyDescent="0.25">
      <c r="A499" s="917" t="s">
        <v>110</v>
      </c>
      <c r="B499" s="918"/>
      <c r="C499" s="918"/>
      <c r="D499" s="918"/>
      <c r="E499" s="317">
        <f>SUM(E42+E10+E133+E176+E208+E253+E325+E336+E477)</f>
        <v>5608000</v>
      </c>
      <c r="F499" s="318">
        <f>SUM(F42+F10+F133+F176+F208+F253+F325+F336+F477+F488)</f>
        <v>8864000</v>
      </c>
      <c r="G499" s="318">
        <f>SUM(G42+G10+G133+G176+G208+G253+G325+G336+G477+G488)</f>
        <v>5897500</v>
      </c>
      <c r="H499" s="318">
        <f>SUM(H42+H10+H133+H176+H208+H253+H325+H336+H477+H488)</f>
        <v>6257000</v>
      </c>
      <c r="I499" s="263">
        <f>AVERAGE(G499/F499*100)</f>
        <v>66.53316787003611</v>
      </c>
      <c r="J499" s="263">
        <f>AVERAGE(H499/G499*100)</f>
        <v>106.09580330648581</v>
      </c>
    </row>
    <row r="500" spans="1:10" x14ac:dyDescent="0.2">
      <c r="B500" s="104"/>
      <c r="C500" s="104"/>
      <c r="D500" s="104"/>
      <c r="E500" s="104"/>
      <c r="F500" s="316"/>
      <c r="G500" s="325"/>
      <c r="H500" s="325"/>
      <c r="I500" s="261"/>
      <c r="J500" s="261"/>
    </row>
    <row r="501" spans="1:10" x14ac:dyDescent="0.2">
      <c r="D501" s="157"/>
    </row>
    <row r="502" spans="1:10" x14ac:dyDescent="0.2">
      <c r="D502" s="157"/>
    </row>
    <row r="503" spans="1:10" x14ac:dyDescent="0.2">
      <c r="D503" s="157"/>
    </row>
    <row r="504" spans="1:10" x14ac:dyDescent="0.2">
      <c r="D504" s="157"/>
    </row>
    <row r="505" spans="1:10" x14ac:dyDescent="0.2">
      <c r="D505" s="157"/>
    </row>
    <row r="506" spans="1:10" x14ac:dyDescent="0.2">
      <c r="D506" s="157"/>
    </row>
  </sheetData>
  <mergeCells count="40">
    <mergeCell ref="A255:D255"/>
    <mergeCell ref="A267:D267"/>
    <mergeCell ref="A302:D302"/>
    <mergeCell ref="A10:D10"/>
    <mergeCell ref="A12:D12"/>
    <mergeCell ref="A42:D42"/>
    <mergeCell ref="A44:D44"/>
    <mergeCell ref="A176:D176"/>
    <mergeCell ref="A212:C214"/>
    <mergeCell ref="D238:D239"/>
    <mergeCell ref="A244:D244"/>
    <mergeCell ref="A253:D253"/>
    <mergeCell ref="A313:D313"/>
    <mergeCell ref="A325:D325"/>
    <mergeCell ref="A327:D327"/>
    <mergeCell ref="A499:D499"/>
    <mergeCell ref="A338:D338"/>
    <mergeCell ref="A371:D371"/>
    <mergeCell ref="A414:D414"/>
    <mergeCell ref="A477:D477"/>
    <mergeCell ref="A479:D479"/>
    <mergeCell ref="A488:D488"/>
    <mergeCell ref="A490:D490"/>
    <mergeCell ref="A336:D336"/>
    <mergeCell ref="A2:J2"/>
    <mergeCell ref="A3:J3"/>
    <mergeCell ref="A27:D27"/>
    <mergeCell ref="A167:D167"/>
    <mergeCell ref="I219:I221"/>
    <mergeCell ref="A133:D133"/>
    <mergeCell ref="A135:D135"/>
    <mergeCell ref="A144:D144"/>
    <mergeCell ref="A178:D178"/>
    <mergeCell ref="D182:D183"/>
    <mergeCell ref="J219:J221"/>
    <mergeCell ref="A4:J4"/>
    <mergeCell ref="A199:D199"/>
    <mergeCell ref="A208:D208"/>
    <mergeCell ref="A210:D210"/>
    <mergeCell ref="A8:D8"/>
  </mergeCells>
  <printOptions horizontalCentered="1"/>
  <pageMargins left="0.19685039370078741" right="0.19685039370078741" top="0.28895833333333332" bottom="0.35433070866141736" header="0.12927083333333333" footer="0.31496062992125984"/>
  <pageSetup paperSize="9" scale="73" orientation="portrait" r:id="rId1"/>
  <headerFooter>
    <oddFooter>Stranica &amp;P</oddFooter>
  </headerFooter>
  <rowBreaks count="5" manualBreakCount="5">
    <brk id="114" max="9" man="1"/>
    <brk id="197" max="9" man="1"/>
    <brk id="278" max="9" man="1"/>
    <brk id="368" max="9" man="1"/>
    <brk id="444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235"/>
  <sheetViews>
    <sheetView tabSelected="1" view="pageBreakPreview" topLeftCell="A206" zoomScale="120" zoomScaleNormal="120" zoomScaleSheetLayoutView="120" workbookViewId="0">
      <selection activeCell="R222" sqref="R222"/>
    </sheetView>
  </sheetViews>
  <sheetFormatPr defaultRowHeight="12.75" x14ac:dyDescent="0.2"/>
  <cols>
    <col min="1" max="1" width="11.7109375" customWidth="1"/>
    <col min="2" max="6" width="2.7109375" hidden="1" customWidth="1"/>
    <col min="7" max="7" width="6.5703125" hidden="1" customWidth="1"/>
    <col min="8" max="8" width="6.42578125" customWidth="1"/>
    <col min="9" max="9" width="35" customWidth="1"/>
    <col min="10" max="10" width="10.140625" hidden="1" customWidth="1"/>
    <col min="11" max="12" width="9.28515625" hidden="1" customWidth="1"/>
    <col min="13" max="14" width="9.140625" hidden="1" customWidth="1"/>
    <col min="15" max="15" width="9.42578125" style="2" customWidth="1"/>
    <col min="16" max="16" width="10.7109375" style="584" hidden="1" customWidth="1"/>
    <col min="17" max="18" width="9.5703125" style="2" customWidth="1"/>
    <col min="19" max="19" width="7" customWidth="1"/>
    <col min="20" max="20" width="6.140625" customWidth="1"/>
  </cols>
  <sheetData>
    <row r="2" spans="1:20" ht="12.75" customHeight="1" x14ac:dyDescent="0.2">
      <c r="A2" s="942" t="s">
        <v>372</v>
      </c>
      <c r="B2" s="942"/>
      <c r="C2" s="942"/>
      <c r="D2" s="942"/>
      <c r="E2" s="942"/>
      <c r="F2" s="942"/>
      <c r="G2" s="942"/>
      <c r="H2" s="942"/>
      <c r="I2" s="942"/>
    </row>
    <row r="3" spans="1:20" ht="12.75" customHeight="1" x14ac:dyDescent="0.2">
      <c r="A3" s="231" t="s">
        <v>373</v>
      </c>
      <c r="B3" s="182"/>
      <c r="C3" s="182"/>
      <c r="D3" s="182"/>
      <c r="E3" s="182"/>
      <c r="F3" s="182"/>
      <c r="G3" s="182"/>
      <c r="H3" s="182"/>
      <c r="I3" s="182"/>
    </row>
    <row r="4" spans="1:20" x14ac:dyDescent="0.2">
      <c r="A4" s="42" t="s">
        <v>374</v>
      </c>
    </row>
    <row r="5" spans="1:20" x14ac:dyDescent="0.2">
      <c r="A5" s="42"/>
    </row>
    <row r="6" spans="1:20" s="229" customFormat="1" ht="12.75" customHeight="1" x14ac:dyDescent="0.2">
      <c r="A6" s="943" t="s">
        <v>521</v>
      </c>
      <c r="B6" s="943"/>
      <c r="C6" s="943"/>
      <c r="D6" s="943"/>
      <c r="E6" s="943"/>
      <c r="F6" s="943"/>
      <c r="G6" s="943"/>
      <c r="H6" s="943"/>
      <c r="I6" s="943"/>
      <c r="J6" s="943"/>
      <c r="K6" s="943"/>
      <c r="L6" s="943"/>
      <c r="M6" s="943"/>
      <c r="N6" s="943"/>
      <c r="O6" s="943"/>
      <c r="P6" s="943"/>
      <c r="Q6" s="943"/>
      <c r="R6" s="943"/>
      <c r="S6" s="943"/>
      <c r="T6" s="943"/>
    </row>
    <row r="7" spans="1:20" s="230" customFormat="1" ht="15" x14ac:dyDescent="0.25">
      <c r="A7" s="944" t="s">
        <v>628</v>
      </c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  <c r="M7" s="944"/>
      <c r="N7" s="944"/>
      <c r="O7" s="944"/>
      <c r="P7" s="944"/>
      <c r="Q7" s="944"/>
      <c r="R7" s="944"/>
      <c r="S7" s="944"/>
      <c r="T7" s="944"/>
    </row>
    <row r="9" spans="1:20" s="135" customFormat="1" ht="15" x14ac:dyDescent="0.2">
      <c r="A9" s="945" t="s">
        <v>453</v>
      </c>
      <c r="B9" s="945"/>
      <c r="C9" s="945"/>
      <c r="D9" s="945"/>
      <c r="E9" s="945"/>
      <c r="F9" s="945"/>
      <c r="G9" s="945"/>
      <c r="H9" s="945"/>
      <c r="I9" s="945"/>
      <c r="O9" s="127"/>
      <c r="P9" s="619"/>
      <c r="Q9" s="127"/>
      <c r="R9" s="127"/>
    </row>
    <row r="10" spans="1:20" s="1" customFormat="1" ht="13.5" thickBot="1" x14ac:dyDescent="0.25">
      <c r="A10" s="7"/>
      <c r="B10" s="7"/>
      <c r="C10" s="7"/>
      <c r="D10" s="7"/>
      <c r="E10" s="7"/>
      <c r="F10" s="7"/>
      <c r="G10" s="7"/>
      <c r="H10" s="7"/>
      <c r="I10" s="94"/>
      <c r="J10" s="7"/>
      <c r="K10" s="7"/>
      <c r="L10" s="7"/>
      <c r="M10" s="7"/>
      <c r="N10" s="7"/>
      <c r="O10" s="7"/>
      <c r="P10" s="620"/>
      <c r="Q10" s="7"/>
      <c r="R10" s="7"/>
      <c r="S10" s="7"/>
      <c r="T10" s="7"/>
    </row>
    <row r="11" spans="1:20" s="535" customFormat="1" x14ac:dyDescent="0.2">
      <c r="A11" s="939"/>
      <c r="B11" s="940"/>
      <c r="C11" s="940"/>
      <c r="D11" s="940"/>
      <c r="E11" s="940"/>
      <c r="F11" s="940"/>
      <c r="G11" s="941"/>
      <c r="H11" s="529"/>
      <c r="I11" s="530"/>
      <c r="J11" s="531">
        <v>1</v>
      </c>
      <c r="K11" s="532">
        <v>2</v>
      </c>
      <c r="L11" s="532">
        <v>3</v>
      </c>
      <c r="M11" s="533">
        <v>1</v>
      </c>
      <c r="N11" s="533">
        <v>1</v>
      </c>
      <c r="O11" s="669">
        <v>1</v>
      </c>
      <c r="P11" s="621">
        <v>2</v>
      </c>
      <c r="Q11" s="669">
        <v>2</v>
      </c>
      <c r="R11" s="669">
        <v>3</v>
      </c>
      <c r="S11" s="533">
        <v>4</v>
      </c>
      <c r="T11" s="534">
        <v>5</v>
      </c>
    </row>
    <row r="12" spans="1:20" s="521" customFormat="1" ht="30.75" thickBot="1" x14ac:dyDescent="0.25">
      <c r="A12" s="546"/>
      <c r="B12" s="545" t="s">
        <v>361</v>
      </c>
      <c r="C12" s="536" t="s">
        <v>362</v>
      </c>
      <c r="D12" s="536" t="s">
        <v>363</v>
      </c>
      <c r="E12" s="536" t="s">
        <v>364</v>
      </c>
      <c r="F12" s="536" t="s">
        <v>365</v>
      </c>
      <c r="G12" s="544" t="s">
        <v>366</v>
      </c>
      <c r="H12" s="537"/>
      <c r="I12" s="538"/>
      <c r="J12" s="539" t="s">
        <v>165</v>
      </c>
      <c r="K12" s="540" t="s">
        <v>168</v>
      </c>
      <c r="L12" s="540" t="s">
        <v>167</v>
      </c>
      <c r="M12" s="541" t="s">
        <v>433</v>
      </c>
      <c r="N12" s="541" t="s">
        <v>433</v>
      </c>
      <c r="O12" s="670" t="s">
        <v>485</v>
      </c>
      <c r="P12" s="641" t="s">
        <v>462</v>
      </c>
      <c r="Q12" s="670" t="s">
        <v>493</v>
      </c>
      <c r="R12" s="670" t="s">
        <v>522</v>
      </c>
      <c r="S12" s="542" t="s">
        <v>629</v>
      </c>
      <c r="T12" s="543" t="s">
        <v>630</v>
      </c>
    </row>
    <row r="13" spans="1:20" s="77" customFormat="1" ht="20.45" customHeight="1" thickBot="1" x14ac:dyDescent="0.25">
      <c r="A13" s="947" t="s">
        <v>464</v>
      </c>
      <c r="B13" s="948"/>
      <c r="C13" s="948"/>
      <c r="D13" s="948"/>
      <c r="E13" s="948"/>
      <c r="F13" s="948"/>
      <c r="G13" s="948"/>
      <c r="H13" s="948"/>
      <c r="I13" s="948"/>
      <c r="J13" s="948"/>
      <c r="K13" s="948"/>
      <c r="L13" s="948"/>
      <c r="M13" s="948"/>
      <c r="N13" s="948"/>
      <c r="O13" s="948"/>
      <c r="P13" s="948"/>
      <c r="Q13" s="948"/>
      <c r="R13" s="948"/>
      <c r="S13" s="948"/>
      <c r="T13" s="949"/>
    </row>
    <row r="14" spans="1:20" s="660" customFormat="1" x14ac:dyDescent="0.2">
      <c r="A14" s="654"/>
      <c r="B14" s="655"/>
      <c r="C14" s="655"/>
      <c r="D14" s="655"/>
      <c r="E14" s="655"/>
      <c r="F14" s="655"/>
      <c r="G14" s="655"/>
      <c r="H14" s="656"/>
      <c r="I14" s="657" t="s">
        <v>357</v>
      </c>
      <c r="J14" s="657"/>
      <c r="K14" s="657"/>
      <c r="L14" s="657"/>
      <c r="M14" s="658">
        <f t="shared" ref="M14:R14" si="0">M15+M16</f>
        <v>10029500</v>
      </c>
      <c r="N14" s="658">
        <f t="shared" si="0"/>
        <v>1331143.406994492</v>
      </c>
      <c r="O14" s="658">
        <f t="shared" si="0"/>
        <v>2596900</v>
      </c>
      <c r="P14" s="659">
        <f t="shared" si="0"/>
        <v>19474120.77</v>
      </c>
      <c r="Q14" s="658">
        <f t="shared" si="0"/>
        <v>4344185</v>
      </c>
      <c r="R14" s="658">
        <f t="shared" si="0"/>
        <v>5325185</v>
      </c>
      <c r="S14" s="702">
        <f>Q14/O14*100</f>
        <v>167.28349185567407</v>
      </c>
      <c r="T14" s="703">
        <f>R14/Q14*100</f>
        <v>122.58191122155249</v>
      </c>
    </row>
    <row r="15" spans="1:20" s="1" customFormat="1" x14ac:dyDescent="0.2">
      <c r="A15" s="357"/>
      <c r="B15" s="358"/>
      <c r="C15" s="358" t="s">
        <v>362</v>
      </c>
      <c r="D15" s="358" t="s">
        <v>363</v>
      </c>
      <c r="E15" s="358" t="s">
        <v>364</v>
      </c>
      <c r="F15" s="358" t="s">
        <v>365</v>
      </c>
      <c r="G15" s="358"/>
      <c r="H15" s="26">
        <v>6</v>
      </c>
      <c r="I15" s="5" t="s">
        <v>1</v>
      </c>
      <c r="J15" s="12" t="e">
        <f t="shared" ref="J15:Q15" si="1">SUM(J38)</f>
        <v>#REF!</v>
      </c>
      <c r="K15" s="12" t="e">
        <f t="shared" si="1"/>
        <v>#REF!</v>
      </c>
      <c r="L15" s="12" t="e">
        <f t="shared" si="1"/>
        <v>#REF!</v>
      </c>
      <c r="M15" s="11">
        <f t="shared" si="1"/>
        <v>9929500</v>
      </c>
      <c r="N15" s="11">
        <f t="shared" si="1"/>
        <v>1317871.1261530295</v>
      </c>
      <c r="O15" s="16">
        <f t="shared" si="1"/>
        <v>2596900</v>
      </c>
      <c r="P15" s="644">
        <f t="shared" si="1"/>
        <v>19474120.77</v>
      </c>
      <c r="Q15" s="16">
        <f t="shared" si="1"/>
        <v>4344185</v>
      </c>
      <c r="R15" s="16">
        <f>SUM(R38)</f>
        <v>5325185</v>
      </c>
      <c r="S15" s="48">
        <f>Q15/O15*100</f>
        <v>167.28349185567407</v>
      </c>
      <c r="T15" s="694">
        <f>R15/Q15*100</f>
        <v>122.58191122155249</v>
      </c>
    </row>
    <row r="16" spans="1:20" s="1" customFormat="1" ht="13.5" thickBot="1" x14ac:dyDescent="0.25">
      <c r="A16" s="359"/>
      <c r="B16" s="360"/>
      <c r="C16" s="360" t="s">
        <v>362</v>
      </c>
      <c r="D16" s="360"/>
      <c r="E16" s="360"/>
      <c r="F16" s="360"/>
      <c r="G16" s="360"/>
      <c r="H16" s="350">
        <v>7</v>
      </c>
      <c r="I16" s="351" t="s">
        <v>2</v>
      </c>
      <c r="J16" s="352" t="e">
        <f t="shared" ref="J16:Q16" si="2">SUM(J96)</f>
        <v>#REF!</v>
      </c>
      <c r="K16" s="352" t="e">
        <f t="shared" si="2"/>
        <v>#REF!</v>
      </c>
      <c r="L16" s="352" t="e">
        <f t="shared" si="2"/>
        <v>#REF!</v>
      </c>
      <c r="M16" s="353">
        <f t="shared" si="2"/>
        <v>100000</v>
      </c>
      <c r="N16" s="353">
        <f t="shared" si="2"/>
        <v>13272.280841462605</v>
      </c>
      <c r="O16" s="34">
        <f t="shared" si="2"/>
        <v>0</v>
      </c>
      <c r="P16" s="649">
        <f t="shared" si="2"/>
        <v>0</v>
      </c>
      <c r="Q16" s="34">
        <f t="shared" si="2"/>
        <v>0</v>
      </c>
      <c r="R16" s="34">
        <f>SUM(R96)</f>
        <v>0</v>
      </c>
      <c r="S16" s="54">
        <v>0</v>
      </c>
      <c r="T16" s="690">
        <v>0</v>
      </c>
    </row>
    <row r="17" spans="1:20" s="660" customFormat="1" x14ac:dyDescent="0.2">
      <c r="A17" s="654"/>
      <c r="B17" s="655"/>
      <c r="C17" s="655"/>
      <c r="D17" s="655"/>
      <c r="E17" s="655"/>
      <c r="F17" s="655"/>
      <c r="G17" s="655"/>
      <c r="H17" s="656"/>
      <c r="I17" s="657" t="s">
        <v>358</v>
      </c>
      <c r="J17" s="657"/>
      <c r="K17" s="657"/>
      <c r="L17" s="657"/>
      <c r="M17" s="658" t="e">
        <f t="shared" ref="M17:R17" si="3">M18+M19</f>
        <v>#REF!</v>
      </c>
      <c r="N17" s="658" t="e">
        <f t="shared" si="3"/>
        <v>#REF!</v>
      </c>
      <c r="O17" s="658">
        <f t="shared" si="3"/>
        <v>3250950</v>
      </c>
      <c r="P17" s="659" t="e">
        <f t="shared" si="3"/>
        <v>#REF!</v>
      </c>
      <c r="Q17" s="658">
        <f t="shared" si="3"/>
        <v>4604250</v>
      </c>
      <c r="R17" s="658">
        <f t="shared" si="3"/>
        <v>5465550</v>
      </c>
      <c r="S17" s="702">
        <f>Q17/O17*100</f>
        <v>141.62783186453191</v>
      </c>
      <c r="T17" s="703">
        <f>R17/Q17*100</f>
        <v>118.70662974425802</v>
      </c>
    </row>
    <row r="18" spans="1:20" s="1" customFormat="1" x14ac:dyDescent="0.2">
      <c r="A18" s="357"/>
      <c r="B18" s="358"/>
      <c r="C18" s="358" t="s">
        <v>362</v>
      </c>
      <c r="D18" s="358" t="s">
        <v>363</v>
      </c>
      <c r="E18" s="358" t="s">
        <v>364</v>
      </c>
      <c r="F18" s="358" t="s">
        <v>365</v>
      </c>
      <c r="G18" s="358"/>
      <c r="H18" s="26">
        <v>3</v>
      </c>
      <c r="I18" s="5" t="s">
        <v>3</v>
      </c>
      <c r="J18" s="12" t="e">
        <f t="shared" ref="J18:Q18" si="4">SUM(J99)</f>
        <v>#REF!</v>
      </c>
      <c r="K18" s="12" t="e">
        <f t="shared" si="4"/>
        <v>#REF!</v>
      </c>
      <c r="L18" s="12" t="e">
        <f t="shared" si="4"/>
        <v>#REF!</v>
      </c>
      <c r="M18" s="11" t="e">
        <f t="shared" si="4"/>
        <v>#REF!</v>
      </c>
      <c r="N18" s="11" t="e">
        <f t="shared" si="4"/>
        <v>#REF!</v>
      </c>
      <c r="O18" s="16">
        <f t="shared" si="4"/>
        <v>1988450</v>
      </c>
      <c r="P18" s="644" t="e">
        <f t="shared" si="4"/>
        <v>#REF!</v>
      </c>
      <c r="Q18" s="16">
        <f t="shared" si="4"/>
        <v>1795750</v>
      </c>
      <c r="R18" s="16">
        <f>SUM(R99)</f>
        <v>1875050</v>
      </c>
      <c r="S18" s="48">
        <f>Q18/O18*100</f>
        <v>90.309034675249563</v>
      </c>
      <c r="T18" s="694">
        <f>R18/Q18*100</f>
        <v>104.41598218014757</v>
      </c>
    </row>
    <row r="19" spans="1:20" s="1" customFormat="1" ht="13.5" thickBot="1" x14ac:dyDescent="0.25">
      <c r="A19" s="359"/>
      <c r="B19" s="360"/>
      <c r="C19" s="360" t="s">
        <v>362</v>
      </c>
      <c r="D19" s="360" t="s">
        <v>363</v>
      </c>
      <c r="E19" s="360"/>
      <c r="F19" s="360" t="s">
        <v>365</v>
      </c>
      <c r="G19" s="360"/>
      <c r="H19" s="350">
        <v>4</v>
      </c>
      <c r="I19" s="351" t="s">
        <v>4</v>
      </c>
      <c r="J19" s="352" t="e">
        <f t="shared" ref="J19:Q19" si="5">SUM(J172)</f>
        <v>#REF!</v>
      </c>
      <c r="K19" s="352" t="e">
        <f t="shared" si="5"/>
        <v>#REF!</v>
      </c>
      <c r="L19" s="352" t="e">
        <f t="shared" si="5"/>
        <v>#REF!</v>
      </c>
      <c r="M19" s="353" t="e">
        <f t="shared" si="5"/>
        <v>#REF!</v>
      </c>
      <c r="N19" s="353" t="e">
        <f t="shared" si="5"/>
        <v>#REF!</v>
      </c>
      <c r="O19" s="34">
        <f t="shared" si="5"/>
        <v>1262500</v>
      </c>
      <c r="P19" s="649" t="e">
        <f t="shared" si="5"/>
        <v>#REF!</v>
      </c>
      <c r="Q19" s="34">
        <f t="shared" si="5"/>
        <v>2808500</v>
      </c>
      <c r="R19" s="34">
        <f>SUM(R172)</f>
        <v>3590500</v>
      </c>
      <c r="S19" s="54">
        <f>Q19/O19*100</f>
        <v>222.45544554455446</v>
      </c>
      <c r="T19" s="55">
        <f>R19/Q19*100</f>
        <v>127.84404486380629</v>
      </c>
    </row>
    <row r="20" spans="1:20" s="1" customFormat="1" x14ac:dyDescent="0.2">
      <c r="A20" s="361"/>
      <c r="B20" s="362"/>
      <c r="C20" s="362"/>
      <c r="D20" s="362"/>
      <c r="E20" s="362"/>
      <c r="F20" s="362"/>
      <c r="G20" s="362"/>
      <c r="H20" s="354"/>
      <c r="I20" s="355" t="s">
        <v>164</v>
      </c>
      <c r="J20" s="347" t="e">
        <f t="shared" ref="J20:R20" si="6">J15+J16-J18-J19</f>
        <v>#REF!</v>
      </c>
      <c r="K20" s="347" t="e">
        <f t="shared" si="6"/>
        <v>#REF!</v>
      </c>
      <c r="L20" s="347" t="e">
        <f t="shared" si="6"/>
        <v>#REF!</v>
      </c>
      <c r="M20" s="356" t="e">
        <f t="shared" si="6"/>
        <v>#REF!</v>
      </c>
      <c r="N20" s="356" t="e">
        <f t="shared" si="6"/>
        <v>#REF!</v>
      </c>
      <c r="O20" s="17">
        <f t="shared" si="6"/>
        <v>-654050</v>
      </c>
      <c r="P20" s="646" t="e">
        <f t="shared" si="6"/>
        <v>#REF!</v>
      </c>
      <c r="Q20" s="17">
        <f t="shared" si="6"/>
        <v>-260065</v>
      </c>
      <c r="R20" s="17">
        <f t="shared" si="6"/>
        <v>-140365</v>
      </c>
      <c r="S20" s="48">
        <f>Q20/O20*100</f>
        <v>39.762250592462351</v>
      </c>
      <c r="T20" s="694">
        <f>R20/Q20*100</f>
        <v>53.973045200238403</v>
      </c>
    </row>
    <row r="21" spans="1:20" s="1" customFormat="1" x14ac:dyDescent="0.2">
      <c r="A21" s="664"/>
      <c r="B21" s="663"/>
      <c r="C21" s="358"/>
      <c r="D21" s="358"/>
      <c r="E21" s="358"/>
      <c r="F21" s="358"/>
      <c r="G21" s="661"/>
      <c r="H21" s="662"/>
      <c r="I21" s="662"/>
      <c r="J21" s="665"/>
      <c r="K21" s="5"/>
      <c r="L21" s="14"/>
      <c r="M21" s="666"/>
      <c r="N21" s="666"/>
      <c r="O21" s="666"/>
      <c r="P21" s="667"/>
      <c r="Q21" s="666"/>
      <c r="R21" s="666"/>
      <c r="S21" s="668"/>
      <c r="T21" s="31"/>
    </row>
    <row r="22" spans="1:20" s="77" customFormat="1" ht="20.45" customHeight="1" x14ac:dyDescent="0.2">
      <c r="A22" s="950" t="s">
        <v>465</v>
      </c>
      <c r="B22" s="951"/>
      <c r="C22" s="951"/>
      <c r="D22" s="951"/>
      <c r="E22" s="951"/>
      <c r="F22" s="951"/>
      <c r="G22" s="951"/>
      <c r="H22" s="951"/>
      <c r="I22" s="951"/>
      <c r="J22" s="951"/>
      <c r="K22" s="951"/>
      <c r="L22" s="951"/>
      <c r="M22" s="951"/>
      <c r="N22" s="951"/>
      <c r="O22" s="951"/>
      <c r="P22" s="951"/>
      <c r="Q22" s="951"/>
      <c r="R22" s="951"/>
      <c r="S22" s="951"/>
      <c r="T22" s="952"/>
    </row>
    <row r="23" spans="1:20" s="1" customFormat="1" x14ac:dyDescent="0.2">
      <c r="A23" s="357"/>
      <c r="B23" s="358"/>
      <c r="C23" s="358"/>
      <c r="D23" s="358"/>
      <c r="E23" s="358"/>
      <c r="F23" s="358"/>
      <c r="G23" s="358"/>
      <c r="H23" s="26">
        <v>8</v>
      </c>
      <c r="I23" s="5" t="s">
        <v>6</v>
      </c>
      <c r="J23" s="12">
        <f t="shared" ref="J23:R23" si="7">SUM(J200)</f>
        <v>2721893</v>
      </c>
      <c r="K23" s="12">
        <f t="shared" si="7"/>
        <v>0</v>
      </c>
      <c r="L23" s="12">
        <f t="shared" si="7"/>
        <v>0</v>
      </c>
      <c r="M23" s="11">
        <f t="shared" si="7"/>
        <v>0</v>
      </c>
      <c r="N23" s="11">
        <f t="shared" si="7"/>
        <v>0</v>
      </c>
      <c r="O23" s="16">
        <f t="shared" si="7"/>
        <v>0</v>
      </c>
      <c r="P23" s="644">
        <f t="shared" si="7"/>
        <v>0</v>
      </c>
      <c r="Q23" s="16">
        <f t="shared" si="7"/>
        <v>0</v>
      </c>
      <c r="R23" s="16">
        <f t="shared" si="7"/>
        <v>0</v>
      </c>
      <c r="S23" s="341">
        <v>0</v>
      </c>
      <c r="T23" s="53">
        <v>0</v>
      </c>
    </row>
    <row r="24" spans="1:20" s="1" customFormat="1" x14ac:dyDescent="0.2">
      <c r="A24" s="357"/>
      <c r="B24" s="358"/>
      <c r="C24" s="358"/>
      <c r="D24" s="358"/>
      <c r="E24" s="358"/>
      <c r="F24" s="358"/>
      <c r="G24" s="358"/>
      <c r="H24" s="26">
        <v>5</v>
      </c>
      <c r="I24" s="5" t="s">
        <v>148</v>
      </c>
      <c r="J24" s="12">
        <f t="shared" ref="J24:R24" si="8">SUM(J207)</f>
        <v>0</v>
      </c>
      <c r="K24" s="12">
        <f t="shared" si="8"/>
        <v>0</v>
      </c>
      <c r="L24" s="12">
        <f t="shared" si="8"/>
        <v>0</v>
      </c>
      <c r="M24" s="11" t="e">
        <f t="shared" si="8"/>
        <v>#REF!</v>
      </c>
      <c r="N24" s="11" t="e">
        <f t="shared" si="8"/>
        <v>#REF!</v>
      </c>
      <c r="O24" s="16">
        <f t="shared" si="8"/>
        <v>0</v>
      </c>
      <c r="P24" s="644" t="e">
        <f t="shared" si="8"/>
        <v>#REF!</v>
      </c>
      <c r="Q24" s="16">
        <f t="shared" si="8"/>
        <v>0</v>
      </c>
      <c r="R24" s="16">
        <f t="shared" si="8"/>
        <v>0</v>
      </c>
      <c r="S24" s="341">
        <v>0</v>
      </c>
      <c r="T24" s="53">
        <v>0</v>
      </c>
    </row>
    <row r="25" spans="1:20" s="1" customFormat="1" x14ac:dyDescent="0.2">
      <c r="A25" s="357"/>
      <c r="B25" s="358"/>
      <c r="C25" s="358"/>
      <c r="D25" s="358"/>
      <c r="E25" s="358"/>
      <c r="F25" s="358"/>
      <c r="G25" s="358"/>
      <c r="H25" s="26"/>
      <c r="I25" s="5" t="s">
        <v>7</v>
      </c>
      <c r="J25" s="12">
        <f t="shared" ref="J25:R25" si="9">J23-J24</f>
        <v>2721893</v>
      </c>
      <c r="K25" s="12">
        <f t="shared" si="9"/>
        <v>0</v>
      </c>
      <c r="L25" s="12">
        <f t="shared" si="9"/>
        <v>0</v>
      </c>
      <c r="M25" s="11" t="e">
        <f t="shared" si="9"/>
        <v>#REF!</v>
      </c>
      <c r="N25" s="11" t="e">
        <f t="shared" si="9"/>
        <v>#REF!</v>
      </c>
      <c r="O25" s="16">
        <f t="shared" si="9"/>
        <v>0</v>
      </c>
      <c r="P25" s="644" t="e">
        <f t="shared" si="9"/>
        <v>#REF!</v>
      </c>
      <c r="Q25" s="16">
        <f t="shared" si="9"/>
        <v>0</v>
      </c>
      <c r="R25" s="16">
        <f t="shared" si="9"/>
        <v>0</v>
      </c>
      <c r="S25" s="341">
        <v>0</v>
      </c>
      <c r="T25" s="53">
        <v>0</v>
      </c>
    </row>
    <row r="26" spans="1:20" s="1" customFormat="1" x14ac:dyDescent="0.2">
      <c r="A26" s="664"/>
      <c r="B26" s="663"/>
      <c r="C26" s="358"/>
      <c r="D26" s="358"/>
      <c r="E26" s="358"/>
      <c r="F26" s="358"/>
      <c r="G26" s="661"/>
      <c r="H26" s="662"/>
      <c r="I26" s="662"/>
      <c r="J26" s="665"/>
      <c r="K26" s="13"/>
      <c r="L26" s="14"/>
      <c r="M26" s="666"/>
      <c r="N26" s="666"/>
      <c r="O26" s="666"/>
      <c r="P26" s="667"/>
      <c r="Q26" s="666"/>
      <c r="R26" s="666"/>
      <c r="S26" s="668"/>
      <c r="T26" s="31"/>
    </row>
    <row r="27" spans="1:20" s="77" customFormat="1" ht="21.6" customHeight="1" x14ac:dyDescent="0.2">
      <c r="A27" s="953" t="s">
        <v>466</v>
      </c>
      <c r="B27" s="954"/>
      <c r="C27" s="954"/>
      <c r="D27" s="954"/>
      <c r="E27" s="954"/>
      <c r="F27" s="954"/>
      <c r="G27" s="954"/>
      <c r="H27" s="954"/>
      <c r="I27" s="954"/>
      <c r="J27" s="954"/>
      <c r="K27" s="954"/>
      <c r="L27" s="954"/>
      <c r="M27" s="954"/>
      <c r="N27" s="954"/>
      <c r="O27" s="954"/>
      <c r="P27" s="954"/>
      <c r="Q27" s="954"/>
      <c r="R27" s="954"/>
      <c r="S27" s="954"/>
      <c r="T27" s="955"/>
    </row>
    <row r="28" spans="1:20" s="1" customFormat="1" x14ac:dyDescent="0.2">
      <c r="A28" s="357"/>
      <c r="B28" s="358"/>
      <c r="C28" s="358"/>
      <c r="D28" s="358"/>
      <c r="E28" s="358"/>
      <c r="F28" s="358"/>
      <c r="G28" s="358"/>
      <c r="H28" s="26">
        <v>9</v>
      </c>
      <c r="I28" s="38" t="s">
        <v>430</v>
      </c>
      <c r="J28" s="12">
        <f>SUM(J219)</f>
        <v>610476</v>
      </c>
      <c r="K28" s="12">
        <f>SUM(K219)</f>
        <v>0</v>
      </c>
      <c r="L28" s="12">
        <f>SUM(L219)</f>
        <v>0</v>
      </c>
      <c r="M28" s="11">
        <f>SUM(M219)</f>
        <v>0</v>
      </c>
      <c r="N28" s="11">
        <f>SUM(N219)</f>
        <v>0</v>
      </c>
      <c r="O28" s="16">
        <v>660000</v>
      </c>
      <c r="P28" s="644">
        <f t="shared" ref="P28" si="10">SUM(P219)</f>
        <v>0</v>
      </c>
      <c r="Q28" s="16">
        <v>265000</v>
      </c>
      <c r="R28" s="16">
        <v>145000</v>
      </c>
      <c r="S28" s="48"/>
      <c r="T28" s="53"/>
    </row>
    <row r="29" spans="1:20" s="1" customFormat="1" x14ac:dyDescent="0.2">
      <c r="A29" s="357"/>
      <c r="B29" s="358"/>
      <c r="C29" s="358"/>
      <c r="D29" s="358"/>
      <c r="E29" s="358"/>
      <c r="F29" s="358"/>
      <c r="G29" s="358"/>
      <c r="H29" s="26"/>
      <c r="I29" s="348" t="s">
        <v>429</v>
      </c>
      <c r="J29" s="13"/>
      <c r="K29" s="5"/>
      <c r="L29" s="13"/>
      <c r="M29" s="11">
        <v>0</v>
      </c>
      <c r="N29" s="16">
        <f>M29/7.5345</f>
        <v>0</v>
      </c>
      <c r="O29" s="16">
        <v>654050</v>
      </c>
      <c r="P29" s="644">
        <f>O29*7.5345</f>
        <v>4927939.7250000006</v>
      </c>
      <c r="Q29" s="16">
        <v>260065</v>
      </c>
      <c r="R29" s="16">
        <v>140365</v>
      </c>
      <c r="S29" s="48">
        <f>Q29/O29*100</f>
        <v>39.762250592462351</v>
      </c>
      <c r="T29" s="691">
        <v>0</v>
      </c>
    </row>
    <row r="30" spans="1:20" s="77" customFormat="1" ht="27" customHeight="1" thickBot="1" x14ac:dyDescent="0.25">
      <c r="A30" s="363"/>
      <c r="B30" s="364"/>
      <c r="C30" s="364"/>
      <c r="D30" s="364"/>
      <c r="E30" s="364"/>
      <c r="F30" s="364"/>
      <c r="G30" s="364"/>
      <c r="H30" s="937" t="s">
        <v>9</v>
      </c>
      <c r="I30" s="938"/>
      <c r="J30" s="92" t="e">
        <f>J20+J25+J28</f>
        <v>#REF!</v>
      </c>
      <c r="K30" s="92" t="e">
        <f>K20+K25+K28</f>
        <v>#REF!</v>
      </c>
      <c r="L30" s="92" t="e">
        <f>L20+L25+L28</f>
        <v>#REF!</v>
      </c>
      <c r="M30" s="344" t="e">
        <f t="shared" ref="M30:R30" si="11">M20+M25+M29</f>
        <v>#REF!</v>
      </c>
      <c r="N30" s="344" t="e">
        <f t="shared" si="11"/>
        <v>#REF!</v>
      </c>
      <c r="O30" s="92">
        <f t="shared" si="11"/>
        <v>0</v>
      </c>
      <c r="P30" s="650" t="e">
        <f t="shared" si="11"/>
        <v>#REF!</v>
      </c>
      <c r="Q30" s="92">
        <f t="shared" si="11"/>
        <v>0</v>
      </c>
      <c r="R30" s="92">
        <f t="shared" si="11"/>
        <v>0</v>
      </c>
      <c r="S30" s="342"/>
      <c r="T30" s="343"/>
    </row>
    <row r="31" spans="1:20" s="1" customFormat="1" x14ac:dyDescent="0.2">
      <c r="A31" s="365"/>
      <c r="B31" s="365"/>
      <c r="C31" s="365"/>
      <c r="D31" s="365"/>
      <c r="E31" s="365"/>
      <c r="F31" s="365"/>
      <c r="G31" s="365"/>
      <c r="H31" s="43"/>
      <c r="I31" s="7"/>
      <c r="J31" s="44"/>
      <c r="K31" s="44"/>
      <c r="L31" s="44"/>
      <c r="M31" s="44"/>
      <c r="N31" s="44"/>
      <c r="O31" s="44"/>
      <c r="P31" s="625"/>
      <c r="Q31" s="44"/>
      <c r="R31" s="44"/>
      <c r="S31" s="45"/>
      <c r="T31" s="46"/>
    </row>
    <row r="32" spans="1:20" s="1" customFormat="1" ht="27.6" customHeight="1" x14ac:dyDescent="0.2">
      <c r="A32" s="946" t="s">
        <v>463</v>
      </c>
      <c r="B32" s="946"/>
      <c r="C32" s="946"/>
      <c r="D32" s="946"/>
      <c r="E32" s="946"/>
      <c r="F32" s="946"/>
      <c r="G32" s="946"/>
      <c r="H32" s="946"/>
      <c r="I32" s="946"/>
      <c r="J32" s="946"/>
      <c r="K32" s="946"/>
      <c r="L32" s="946"/>
      <c r="M32" s="946"/>
      <c r="N32" s="946"/>
      <c r="O32" s="946"/>
      <c r="P32" s="946"/>
      <c r="Q32" s="946"/>
      <c r="R32" s="946"/>
      <c r="S32" s="946"/>
      <c r="T32" s="946"/>
    </row>
    <row r="33" spans="1:20" ht="12.75" customHeight="1" thickBot="1" x14ac:dyDescent="0.25">
      <c r="A33" s="365"/>
      <c r="B33" s="365"/>
      <c r="C33" s="365"/>
      <c r="D33" s="365"/>
      <c r="E33" s="365"/>
      <c r="F33" s="365"/>
      <c r="G33" s="365"/>
      <c r="H33" s="6"/>
      <c r="I33" s="6"/>
      <c r="J33" s="6"/>
      <c r="K33" s="6"/>
      <c r="L33" s="6"/>
      <c r="M33" s="6"/>
      <c r="N33" s="6"/>
      <c r="O33" s="6"/>
      <c r="P33" s="626"/>
      <c r="Q33" s="6"/>
      <c r="R33" s="6"/>
      <c r="S33" s="6"/>
      <c r="T33" s="6"/>
    </row>
    <row r="34" spans="1:20" s="521" customFormat="1" ht="25.5" x14ac:dyDescent="0.2">
      <c r="A34" s="514" t="s">
        <v>452</v>
      </c>
      <c r="B34" s="515"/>
      <c r="C34" s="515"/>
      <c r="D34" s="515"/>
      <c r="E34" s="515"/>
      <c r="F34" s="515"/>
      <c r="G34" s="515"/>
      <c r="H34" s="516" t="s">
        <v>10</v>
      </c>
      <c r="I34" s="517" t="s">
        <v>11</v>
      </c>
      <c r="J34" s="518" t="s">
        <v>165</v>
      </c>
      <c r="K34" s="518" t="s">
        <v>166</v>
      </c>
      <c r="L34" s="518" t="s">
        <v>167</v>
      </c>
      <c r="M34" s="519" t="s">
        <v>433</v>
      </c>
      <c r="N34" s="519" t="s">
        <v>433</v>
      </c>
      <c r="O34" s="671" t="s">
        <v>523</v>
      </c>
      <c r="P34" s="640" t="s">
        <v>462</v>
      </c>
      <c r="Q34" s="671" t="s">
        <v>524</v>
      </c>
      <c r="R34" s="671" t="s">
        <v>525</v>
      </c>
      <c r="S34" s="520" t="s">
        <v>629</v>
      </c>
      <c r="T34" s="688" t="s">
        <v>630</v>
      </c>
    </row>
    <row r="35" spans="1:20" s="528" customFormat="1" ht="12" thickBot="1" x14ac:dyDescent="0.25">
      <c r="A35" s="522"/>
      <c r="B35" s="523"/>
      <c r="C35" s="523"/>
      <c r="D35" s="523"/>
      <c r="E35" s="523"/>
      <c r="F35" s="523"/>
      <c r="G35" s="523"/>
      <c r="H35" s="524"/>
      <c r="I35" s="525"/>
      <c r="J35" s="526"/>
      <c r="K35" s="526"/>
      <c r="L35" s="526"/>
      <c r="M35" s="526"/>
      <c r="N35" s="526"/>
      <c r="O35" s="672">
        <v>1</v>
      </c>
      <c r="P35" s="627">
        <v>2</v>
      </c>
      <c r="Q35" s="672">
        <v>2</v>
      </c>
      <c r="R35" s="672">
        <v>3</v>
      </c>
      <c r="S35" s="527">
        <v>4</v>
      </c>
      <c r="T35" s="689">
        <v>5</v>
      </c>
    </row>
    <row r="36" spans="1:20" s="554" customFormat="1" ht="12" thickBot="1" x14ac:dyDescent="0.25">
      <c r="A36" s="555"/>
      <c r="B36" s="553"/>
      <c r="C36" s="553"/>
      <c r="D36" s="553"/>
      <c r="E36" s="553"/>
      <c r="F36" s="553"/>
      <c r="G36" s="553"/>
      <c r="H36" s="561"/>
      <c r="I36" s="562"/>
      <c r="J36" s="563"/>
      <c r="K36" s="563"/>
      <c r="L36" s="563"/>
      <c r="M36" s="563"/>
      <c r="N36" s="563"/>
      <c r="O36" s="673"/>
      <c r="P36" s="628"/>
      <c r="Q36" s="673"/>
      <c r="R36" s="673"/>
      <c r="S36" s="563"/>
      <c r="T36" s="563"/>
    </row>
    <row r="37" spans="1:20" s="42" customFormat="1" ht="13.5" thickBot="1" x14ac:dyDescent="0.25">
      <c r="A37" s="556"/>
      <c r="B37" s="552"/>
      <c r="C37" s="552"/>
      <c r="D37" s="552"/>
      <c r="E37" s="552"/>
      <c r="F37" s="552"/>
      <c r="G37" s="552"/>
      <c r="H37" s="557" t="s">
        <v>0</v>
      </c>
      <c r="I37" s="558"/>
      <c r="J37" s="559"/>
      <c r="K37" s="559"/>
      <c r="L37" s="559"/>
      <c r="M37" s="559"/>
      <c r="N37" s="559"/>
      <c r="O37" s="674"/>
      <c r="P37" s="629"/>
      <c r="Q37" s="674"/>
      <c r="R37" s="674"/>
      <c r="S37" s="560"/>
      <c r="T37" s="559"/>
    </row>
    <row r="38" spans="1:20" s="59" customFormat="1" ht="13.5" thickBot="1" x14ac:dyDescent="0.25">
      <c r="A38" s="502"/>
      <c r="B38" s="366"/>
      <c r="C38" s="366"/>
      <c r="D38" s="366"/>
      <c r="E38" s="366"/>
      <c r="F38" s="366"/>
      <c r="G38" s="366"/>
      <c r="H38" s="56">
        <v>6</v>
      </c>
      <c r="I38" s="57" t="s">
        <v>1</v>
      </c>
      <c r="J38" s="58" t="e">
        <f>SUM(J39+J54+J66+J77+#REF!+J93)</f>
        <v>#REF!</v>
      </c>
      <c r="K38" s="58" t="e">
        <f>SUM(K39+K54+K66+K77+#REF!)</f>
        <v>#REF!</v>
      </c>
      <c r="L38" s="58" t="e">
        <f>SUM(L39+L54+L66+L77+#REF!)</f>
        <v>#REF!</v>
      </c>
      <c r="M38" s="58">
        <f t="shared" ref="M38:R38" si="12">SUM(M39+M54+M66+M77+M90+M93)</f>
        <v>9929500</v>
      </c>
      <c r="N38" s="58">
        <f t="shared" si="12"/>
        <v>1317871.1261530295</v>
      </c>
      <c r="O38" s="58">
        <f t="shared" si="12"/>
        <v>2596900</v>
      </c>
      <c r="P38" s="642">
        <f t="shared" si="12"/>
        <v>19474120.77</v>
      </c>
      <c r="Q38" s="58">
        <f t="shared" si="12"/>
        <v>4344185</v>
      </c>
      <c r="R38" s="58">
        <f t="shared" si="12"/>
        <v>5325185</v>
      </c>
      <c r="S38" s="704">
        <f t="shared" ref="S38:S48" si="13">Q38/O38*100</f>
        <v>167.28349185567407</v>
      </c>
      <c r="T38" s="692">
        <f t="shared" ref="T38:T48" si="14">R38/Q38*100</f>
        <v>122.58191122155249</v>
      </c>
    </row>
    <row r="39" spans="1:20" s="84" customFormat="1" x14ac:dyDescent="0.2">
      <c r="A39" s="503"/>
      <c r="B39" s="367"/>
      <c r="C39" s="367"/>
      <c r="D39" s="367"/>
      <c r="E39" s="367"/>
      <c r="F39" s="367"/>
      <c r="G39" s="367"/>
      <c r="H39" s="78">
        <v>61</v>
      </c>
      <c r="I39" s="79" t="s">
        <v>12</v>
      </c>
      <c r="J39" s="80" t="e">
        <f>SUM(J40+#REF!+J48+J51+#REF!)</f>
        <v>#REF!</v>
      </c>
      <c r="K39" s="80" t="e">
        <f>SUM(K40+#REF!+K48+K51+#REF!)</f>
        <v>#REF!</v>
      </c>
      <c r="L39" s="80" t="e">
        <f>SUM(L40+#REF!+L48+L51+#REF!)</f>
        <v>#REF!</v>
      </c>
      <c r="M39" s="80">
        <f t="shared" ref="M39:R39" si="15">SUM(M40+M48+M51)</f>
        <v>3691000</v>
      </c>
      <c r="N39" s="80">
        <f t="shared" si="15"/>
        <v>489879.88585838472</v>
      </c>
      <c r="O39" s="80">
        <f t="shared" si="15"/>
        <v>1104000</v>
      </c>
      <c r="P39" s="643">
        <f t="shared" si="15"/>
        <v>8318088</v>
      </c>
      <c r="Q39" s="80">
        <f t="shared" si="15"/>
        <v>1221200</v>
      </c>
      <c r="R39" s="80">
        <f t="shared" si="15"/>
        <v>1276700</v>
      </c>
      <c r="S39" s="81">
        <f t="shared" si="13"/>
        <v>110.6159420289855</v>
      </c>
      <c r="T39" s="693">
        <f t="shared" si="14"/>
        <v>104.54471012119227</v>
      </c>
    </row>
    <row r="40" spans="1:20" s="1" customFormat="1" x14ac:dyDescent="0.2">
      <c r="A40" s="504"/>
      <c r="B40" s="358"/>
      <c r="C40" s="358"/>
      <c r="D40" s="358"/>
      <c r="E40" s="358"/>
      <c r="F40" s="358"/>
      <c r="G40" s="358"/>
      <c r="H40" s="24">
        <v>611</v>
      </c>
      <c r="I40" s="8" t="s">
        <v>13</v>
      </c>
      <c r="J40" s="12">
        <f>SUM(J41:J47)</f>
        <v>2154483</v>
      </c>
      <c r="K40" s="12">
        <f>SUM(K41:K47)</f>
        <v>1910000</v>
      </c>
      <c r="L40" s="12">
        <f>SUM(L41:L47)</f>
        <v>2210000</v>
      </c>
      <c r="M40" s="12">
        <f t="shared" ref="M40:R40" si="16">SUM(M41:M47)</f>
        <v>3445000</v>
      </c>
      <c r="N40" s="12">
        <f t="shared" si="16"/>
        <v>457230.07498838671</v>
      </c>
      <c r="O40" s="12">
        <f t="shared" si="16"/>
        <v>1031000</v>
      </c>
      <c r="P40" s="624">
        <f t="shared" si="16"/>
        <v>7768069.5</v>
      </c>
      <c r="Q40" s="12">
        <f t="shared" si="16"/>
        <v>1146000</v>
      </c>
      <c r="R40" s="12">
        <f t="shared" si="16"/>
        <v>1201000</v>
      </c>
      <c r="S40" s="48">
        <f t="shared" si="13"/>
        <v>111.15421920465567</v>
      </c>
      <c r="T40" s="694">
        <f t="shared" si="14"/>
        <v>104.79930191972078</v>
      </c>
    </row>
    <row r="41" spans="1:20" x14ac:dyDescent="0.2">
      <c r="A41" s="504" t="s">
        <v>477</v>
      </c>
      <c r="B41" s="358"/>
      <c r="C41" s="358"/>
      <c r="D41" s="358"/>
      <c r="E41" s="358"/>
      <c r="F41" s="358"/>
      <c r="G41" s="358"/>
      <c r="H41" s="25">
        <v>6111</v>
      </c>
      <c r="I41" s="47" t="s">
        <v>14</v>
      </c>
      <c r="J41" s="16">
        <v>1821860</v>
      </c>
      <c r="K41" s="16">
        <v>1700000</v>
      </c>
      <c r="L41" s="16">
        <v>2000000</v>
      </c>
      <c r="M41" s="16">
        <v>2800000</v>
      </c>
      <c r="N41" s="16">
        <f t="shared" ref="N41:N47" si="17">M41/7.5345</f>
        <v>371623.86356095294</v>
      </c>
      <c r="O41" s="16">
        <v>950000</v>
      </c>
      <c r="P41" s="644">
        <f t="shared" ref="P41:P47" si="18">O41*7.5345</f>
        <v>7157775</v>
      </c>
      <c r="Q41" s="16">
        <v>1050000</v>
      </c>
      <c r="R41" s="16">
        <v>1100000</v>
      </c>
      <c r="S41" s="48">
        <f t="shared" si="13"/>
        <v>110.5263157894737</v>
      </c>
      <c r="T41" s="694">
        <f t="shared" si="14"/>
        <v>104.76190476190477</v>
      </c>
    </row>
    <row r="42" spans="1:20" x14ac:dyDescent="0.2">
      <c r="A42" s="504" t="s">
        <v>477</v>
      </c>
      <c r="B42" s="358"/>
      <c r="C42" s="358"/>
      <c r="D42" s="358"/>
      <c r="E42" s="358"/>
      <c r="F42" s="358"/>
      <c r="G42" s="358"/>
      <c r="H42" s="25">
        <v>6112</v>
      </c>
      <c r="I42" s="47" t="s">
        <v>15</v>
      </c>
      <c r="J42" s="16">
        <v>175805</v>
      </c>
      <c r="K42" s="16">
        <v>100000</v>
      </c>
      <c r="L42" s="16">
        <v>100000</v>
      </c>
      <c r="M42" s="16">
        <v>450000</v>
      </c>
      <c r="N42" s="16">
        <f t="shared" si="17"/>
        <v>59725.263786581723</v>
      </c>
      <c r="O42" s="16">
        <v>80000</v>
      </c>
      <c r="P42" s="644">
        <f t="shared" si="18"/>
        <v>602760</v>
      </c>
      <c r="Q42" s="16">
        <v>85000</v>
      </c>
      <c r="R42" s="16">
        <v>90000</v>
      </c>
      <c r="S42" s="48">
        <f t="shared" si="13"/>
        <v>106.25</v>
      </c>
      <c r="T42" s="694">
        <f t="shared" si="14"/>
        <v>105.88235294117648</v>
      </c>
    </row>
    <row r="43" spans="1:20" x14ac:dyDescent="0.2">
      <c r="A43" s="504" t="s">
        <v>477</v>
      </c>
      <c r="B43" s="358"/>
      <c r="C43" s="358"/>
      <c r="D43" s="358"/>
      <c r="E43" s="358"/>
      <c r="F43" s="358"/>
      <c r="G43" s="358"/>
      <c r="H43" s="25">
        <v>6113</v>
      </c>
      <c r="I43" s="47" t="s">
        <v>343</v>
      </c>
      <c r="J43" s="16">
        <v>30942</v>
      </c>
      <c r="K43" s="16">
        <v>20000</v>
      </c>
      <c r="L43" s="16">
        <v>20000</v>
      </c>
      <c r="M43" s="16">
        <v>90000</v>
      </c>
      <c r="N43" s="16">
        <f t="shared" si="17"/>
        <v>11945.052757316344</v>
      </c>
      <c r="O43" s="16">
        <v>25000</v>
      </c>
      <c r="P43" s="644">
        <f t="shared" si="18"/>
        <v>188362.5</v>
      </c>
      <c r="Q43" s="16">
        <v>30000</v>
      </c>
      <c r="R43" s="16">
        <v>30000</v>
      </c>
      <c r="S43" s="48">
        <f t="shared" si="13"/>
        <v>120</v>
      </c>
      <c r="T43" s="694">
        <f t="shared" si="14"/>
        <v>100</v>
      </c>
    </row>
    <row r="44" spans="1:20" x14ac:dyDescent="0.2">
      <c r="A44" s="504" t="s">
        <v>477</v>
      </c>
      <c r="B44" s="358"/>
      <c r="C44" s="358"/>
      <c r="D44" s="358"/>
      <c r="E44" s="358"/>
      <c r="F44" s="358"/>
      <c r="G44" s="358"/>
      <c r="H44" s="25">
        <v>6114</v>
      </c>
      <c r="I44" s="15" t="s">
        <v>111</v>
      </c>
      <c r="J44" s="16">
        <v>64474</v>
      </c>
      <c r="K44" s="16">
        <v>30000</v>
      </c>
      <c r="L44" s="16">
        <v>30000</v>
      </c>
      <c r="M44" s="16">
        <v>400000</v>
      </c>
      <c r="N44" s="16">
        <f t="shared" si="17"/>
        <v>53089.123365850421</v>
      </c>
      <c r="O44" s="16">
        <v>75000</v>
      </c>
      <c r="P44" s="644">
        <f t="shared" si="18"/>
        <v>565087.5</v>
      </c>
      <c r="Q44" s="16">
        <v>75000</v>
      </c>
      <c r="R44" s="16">
        <v>75000</v>
      </c>
      <c r="S44" s="48">
        <f t="shared" si="13"/>
        <v>100</v>
      </c>
      <c r="T44" s="694">
        <f t="shared" si="14"/>
        <v>100</v>
      </c>
    </row>
    <row r="45" spans="1:20" x14ac:dyDescent="0.2">
      <c r="A45" s="504" t="s">
        <v>477</v>
      </c>
      <c r="B45" s="358"/>
      <c r="C45" s="358"/>
      <c r="D45" s="358"/>
      <c r="E45" s="358"/>
      <c r="F45" s="358"/>
      <c r="G45" s="358"/>
      <c r="H45" s="25">
        <v>6115</v>
      </c>
      <c r="I45" s="15" t="s">
        <v>16</v>
      </c>
      <c r="J45" s="16">
        <v>61402</v>
      </c>
      <c r="K45" s="16">
        <v>50000</v>
      </c>
      <c r="L45" s="16">
        <v>50000</v>
      </c>
      <c r="M45" s="16">
        <v>250000</v>
      </c>
      <c r="N45" s="16">
        <f t="shared" si="17"/>
        <v>33180.702103656513</v>
      </c>
      <c r="O45" s="16">
        <v>50000</v>
      </c>
      <c r="P45" s="644">
        <f t="shared" si="18"/>
        <v>376725</v>
      </c>
      <c r="Q45" s="16">
        <v>55000</v>
      </c>
      <c r="R45" s="16">
        <v>55000</v>
      </c>
      <c r="S45" s="48">
        <f t="shared" si="13"/>
        <v>110.00000000000001</v>
      </c>
      <c r="T45" s="694">
        <f t="shared" si="14"/>
        <v>100</v>
      </c>
    </row>
    <row r="46" spans="1:20" x14ac:dyDescent="0.2">
      <c r="A46" s="504" t="s">
        <v>477</v>
      </c>
      <c r="B46" s="358"/>
      <c r="C46" s="358"/>
      <c r="D46" s="358"/>
      <c r="E46" s="358"/>
      <c r="F46" s="358"/>
      <c r="G46" s="358"/>
      <c r="H46" s="25">
        <v>6116</v>
      </c>
      <c r="I46" s="15" t="s">
        <v>120</v>
      </c>
      <c r="J46" s="16">
        <v>0</v>
      </c>
      <c r="K46" s="16">
        <v>10000</v>
      </c>
      <c r="L46" s="16">
        <v>10000</v>
      </c>
      <c r="M46" s="16">
        <v>5000</v>
      </c>
      <c r="N46" s="16">
        <f t="shared" si="17"/>
        <v>663.61404207313024</v>
      </c>
      <c r="O46" s="16">
        <v>1000</v>
      </c>
      <c r="P46" s="644">
        <f t="shared" si="18"/>
        <v>7534.5</v>
      </c>
      <c r="Q46" s="16">
        <v>1000</v>
      </c>
      <c r="R46" s="16">
        <v>1000</v>
      </c>
      <c r="S46" s="48">
        <f t="shared" si="13"/>
        <v>100</v>
      </c>
      <c r="T46" s="694">
        <f t="shared" si="14"/>
        <v>100</v>
      </c>
    </row>
    <row r="47" spans="1:20" x14ac:dyDescent="0.2">
      <c r="A47" s="504" t="s">
        <v>477</v>
      </c>
      <c r="B47" s="358"/>
      <c r="C47" s="358"/>
      <c r="D47" s="358"/>
      <c r="E47" s="358"/>
      <c r="F47" s="358"/>
      <c r="G47" s="358"/>
      <c r="H47" s="25">
        <v>6117</v>
      </c>
      <c r="I47" s="47" t="s">
        <v>636</v>
      </c>
      <c r="J47" s="16">
        <v>0</v>
      </c>
      <c r="K47" s="16">
        <v>0</v>
      </c>
      <c r="L47" s="16">
        <v>0</v>
      </c>
      <c r="M47" s="16">
        <v>-550000</v>
      </c>
      <c r="N47" s="16">
        <f t="shared" si="17"/>
        <v>-72997.544628044328</v>
      </c>
      <c r="O47" s="16">
        <v>-150000</v>
      </c>
      <c r="P47" s="644">
        <f t="shared" si="18"/>
        <v>-1130175</v>
      </c>
      <c r="Q47" s="16">
        <v>-150000</v>
      </c>
      <c r="R47" s="16">
        <v>-150000</v>
      </c>
      <c r="S47" s="48">
        <f t="shared" si="13"/>
        <v>100</v>
      </c>
      <c r="T47" s="694">
        <f t="shared" si="14"/>
        <v>100</v>
      </c>
    </row>
    <row r="48" spans="1:20" s="1" customFormat="1" x14ac:dyDescent="0.2">
      <c r="A48" s="504"/>
      <c r="B48" s="358"/>
      <c r="C48" s="358"/>
      <c r="D48" s="358"/>
      <c r="E48" s="358"/>
      <c r="F48" s="358"/>
      <c r="G48" s="358"/>
      <c r="H48" s="24">
        <v>613</v>
      </c>
      <c r="I48" s="8" t="s">
        <v>17</v>
      </c>
      <c r="J48" s="12" t="e">
        <f>SUM(J49+J50)</f>
        <v>#REF!</v>
      </c>
      <c r="K48" s="12" t="e">
        <f>SUM(K49+K50)</f>
        <v>#REF!</v>
      </c>
      <c r="L48" s="12" t="e">
        <f>SUM(L49+L50)</f>
        <v>#REF!</v>
      </c>
      <c r="M48" s="12">
        <f t="shared" ref="M48:R48" si="19">M49+M50</f>
        <v>200000</v>
      </c>
      <c r="N48" s="12">
        <f t="shared" si="19"/>
        <v>26544.56168292521</v>
      </c>
      <c r="O48" s="12">
        <f t="shared" si="19"/>
        <v>65000</v>
      </c>
      <c r="P48" s="624">
        <f t="shared" si="19"/>
        <v>489742.5</v>
      </c>
      <c r="Q48" s="12">
        <f t="shared" si="19"/>
        <v>65000</v>
      </c>
      <c r="R48" s="12">
        <f t="shared" si="19"/>
        <v>65000</v>
      </c>
      <c r="S48" s="48">
        <f t="shared" si="13"/>
        <v>100</v>
      </c>
      <c r="T48" s="694">
        <f t="shared" si="14"/>
        <v>100</v>
      </c>
    </row>
    <row r="49" spans="1:20" x14ac:dyDescent="0.2">
      <c r="A49" s="504" t="s">
        <v>477</v>
      </c>
      <c r="B49" s="358"/>
      <c r="C49" s="358"/>
      <c r="D49" s="358"/>
      <c r="E49" s="358"/>
      <c r="F49" s="358"/>
      <c r="G49" s="358"/>
      <c r="H49" s="27">
        <v>6131</v>
      </c>
      <c r="I49" s="10" t="s">
        <v>18</v>
      </c>
      <c r="J49" s="12" t="e">
        <f>SUM(#REF!)</f>
        <v>#REF!</v>
      </c>
      <c r="K49" s="12" t="e">
        <f>SUM(#REF!)</f>
        <v>#REF!</v>
      </c>
      <c r="L49" s="12" t="e">
        <f>SUM(#REF!)</f>
        <v>#REF!</v>
      </c>
      <c r="M49" s="11">
        <v>0</v>
      </c>
      <c r="N49" s="16">
        <f>M49/7.5345</f>
        <v>0</v>
      </c>
      <c r="O49" s="16">
        <v>15000</v>
      </c>
      <c r="P49" s="644">
        <f>O49*7.5345</f>
        <v>113017.5</v>
      </c>
      <c r="Q49" s="16">
        <v>15000</v>
      </c>
      <c r="R49" s="16">
        <v>15000</v>
      </c>
      <c r="S49" s="48">
        <v>0</v>
      </c>
      <c r="T49" s="694">
        <v>0</v>
      </c>
    </row>
    <row r="50" spans="1:20" s="29" customFormat="1" x14ac:dyDescent="0.2">
      <c r="A50" s="504" t="s">
        <v>477</v>
      </c>
      <c r="B50" s="358"/>
      <c r="C50" s="358"/>
      <c r="D50" s="358"/>
      <c r="E50" s="358"/>
      <c r="F50" s="358"/>
      <c r="G50" s="358"/>
      <c r="H50" s="27">
        <v>6134</v>
      </c>
      <c r="I50" s="10" t="s">
        <v>19</v>
      </c>
      <c r="J50" s="11" t="e">
        <f>SUM(#REF!)</f>
        <v>#REF!</v>
      </c>
      <c r="K50" s="11" t="e">
        <f>SUM(#REF!)</f>
        <v>#REF!</v>
      </c>
      <c r="L50" s="11" t="e">
        <f>SUM(#REF!)</f>
        <v>#REF!</v>
      </c>
      <c r="M50" s="11">
        <v>200000</v>
      </c>
      <c r="N50" s="16">
        <f>M50/7.5345</f>
        <v>26544.56168292521</v>
      </c>
      <c r="O50" s="16">
        <v>50000</v>
      </c>
      <c r="P50" s="644">
        <f>O50*7.5345</f>
        <v>376725</v>
      </c>
      <c r="Q50" s="16">
        <v>50000</v>
      </c>
      <c r="R50" s="16">
        <v>50000</v>
      </c>
      <c r="S50" s="48">
        <f t="shared" ref="S50:S59" si="20">Q50/O50*100</f>
        <v>100</v>
      </c>
      <c r="T50" s="694">
        <f t="shared" ref="T50:T79" si="21">R50/Q50*100</f>
        <v>100</v>
      </c>
    </row>
    <row r="51" spans="1:20" s="1" customFormat="1" x14ac:dyDescent="0.2">
      <c r="A51" s="504"/>
      <c r="B51" s="358"/>
      <c r="C51" s="358"/>
      <c r="D51" s="358"/>
      <c r="E51" s="358"/>
      <c r="F51" s="358"/>
      <c r="G51" s="358"/>
      <c r="H51" s="24">
        <v>614</v>
      </c>
      <c r="I51" s="8" t="s">
        <v>20</v>
      </c>
      <c r="J51" s="12" t="e">
        <f t="shared" ref="J51:R51" si="22">SUM(J52+J53)</f>
        <v>#REF!</v>
      </c>
      <c r="K51" s="12" t="e">
        <f t="shared" si="22"/>
        <v>#REF!</v>
      </c>
      <c r="L51" s="12" t="e">
        <f t="shared" si="22"/>
        <v>#REF!</v>
      </c>
      <c r="M51" s="12">
        <f t="shared" si="22"/>
        <v>46000</v>
      </c>
      <c r="N51" s="12">
        <f t="shared" si="22"/>
        <v>6105.2491870727981</v>
      </c>
      <c r="O51" s="12">
        <f t="shared" si="22"/>
        <v>8000</v>
      </c>
      <c r="P51" s="624">
        <f t="shared" si="22"/>
        <v>60276</v>
      </c>
      <c r="Q51" s="12">
        <f t="shared" si="22"/>
        <v>10200</v>
      </c>
      <c r="R51" s="12">
        <f t="shared" si="22"/>
        <v>10700</v>
      </c>
      <c r="S51" s="48">
        <f t="shared" si="20"/>
        <v>127.49999999999999</v>
      </c>
      <c r="T51" s="694">
        <f t="shared" si="21"/>
        <v>104.90196078431373</v>
      </c>
    </row>
    <row r="52" spans="1:20" x14ac:dyDescent="0.2">
      <c r="A52" s="504" t="s">
        <v>477</v>
      </c>
      <c r="B52" s="358"/>
      <c r="C52" s="358"/>
      <c r="D52" s="358"/>
      <c r="E52" s="358"/>
      <c r="F52" s="358"/>
      <c r="G52" s="358"/>
      <c r="H52" s="27">
        <v>6142</v>
      </c>
      <c r="I52" s="10" t="s">
        <v>21</v>
      </c>
      <c r="J52" s="11" t="e">
        <f>SUM(#REF!)</f>
        <v>#REF!</v>
      </c>
      <c r="K52" s="11" t="e">
        <f>SUM(#REF!)</f>
        <v>#REF!</v>
      </c>
      <c r="L52" s="11" t="e">
        <f>SUM(#REF!)</f>
        <v>#REF!</v>
      </c>
      <c r="M52" s="11">
        <v>45000</v>
      </c>
      <c r="N52" s="16">
        <f>M52/7.5345</f>
        <v>5972.5263786581718</v>
      </c>
      <c r="O52" s="16">
        <v>7500</v>
      </c>
      <c r="P52" s="644">
        <f>O52*7.5345</f>
        <v>56508.75</v>
      </c>
      <c r="Q52" s="16">
        <v>9700</v>
      </c>
      <c r="R52" s="16">
        <v>10200</v>
      </c>
      <c r="S52" s="48">
        <f t="shared" si="20"/>
        <v>129.33333333333331</v>
      </c>
      <c r="T52" s="694">
        <f t="shared" si="21"/>
        <v>105.15463917525774</v>
      </c>
    </row>
    <row r="53" spans="1:20" s="29" customFormat="1" ht="22.5" x14ac:dyDescent="0.2">
      <c r="A53" s="504" t="s">
        <v>477</v>
      </c>
      <c r="B53" s="358"/>
      <c r="C53" s="358"/>
      <c r="D53" s="358"/>
      <c r="E53" s="358"/>
      <c r="F53" s="358"/>
      <c r="G53" s="358"/>
      <c r="H53" s="27">
        <v>6145</v>
      </c>
      <c r="I53" s="10" t="s">
        <v>22</v>
      </c>
      <c r="J53" s="11" t="e">
        <f>SUM(#REF!)</f>
        <v>#REF!</v>
      </c>
      <c r="K53" s="11" t="e">
        <f>SUM(#REF!)</f>
        <v>#REF!</v>
      </c>
      <c r="L53" s="11" t="e">
        <f>SUM(#REF!)</f>
        <v>#REF!</v>
      </c>
      <c r="M53" s="11">
        <v>1000</v>
      </c>
      <c r="N53" s="16">
        <f>M53/7.5345</f>
        <v>132.72280841462606</v>
      </c>
      <c r="O53" s="16">
        <v>500</v>
      </c>
      <c r="P53" s="644">
        <f>O53*7.5345</f>
        <v>3767.25</v>
      </c>
      <c r="Q53" s="16">
        <v>500</v>
      </c>
      <c r="R53" s="16">
        <v>500</v>
      </c>
      <c r="S53" s="48">
        <f t="shared" si="20"/>
        <v>100</v>
      </c>
      <c r="T53" s="694">
        <f t="shared" si="21"/>
        <v>100</v>
      </c>
    </row>
    <row r="54" spans="1:20" s="84" customFormat="1" x14ac:dyDescent="0.2">
      <c r="A54" s="505"/>
      <c r="B54" s="368"/>
      <c r="C54" s="368"/>
      <c r="D54" s="368"/>
      <c r="E54" s="368"/>
      <c r="F54" s="368"/>
      <c r="G54" s="368"/>
      <c r="H54" s="85">
        <v>63</v>
      </c>
      <c r="I54" s="86" t="s">
        <v>23</v>
      </c>
      <c r="J54" s="87" t="e">
        <f>SUM(J55+J58)</f>
        <v>#REF!</v>
      </c>
      <c r="K54" s="87" t="e">
        <f>SUM(K55+K58)</f>
        <v>#REF!</v>
      </c>
      <c r="L54" s="87" t="e">
        <f>SUM(L55+L58)</f>
        <v>#REF!</v>
      </c>
      <c r="M54" s="87">
        <f t="shared" ref="M54:R54" si="23">SUM(M55+M58+M61)</f>
        <v>4145000</v>
      </c>
      <c r="N54" s="87">
        <f t="shared" si="23"/>
        <v>550136.040878625</v>
      </c>
      <c r="O54" s="87">
        <f t="shared" si="23"/>
        <v>1134200</v>
      </c>
      <c r="P54" s="645">
        <f t="shared" si="23"/>
        <v>8453407.6199999992</v>
      </c>
      <c r="Q54" s="87">
        <f t="shared" si="23"/>
        <v>2733285</v>
      </c>
      <c r="R54" s="87">
        <f t="shared" si="23"/>
        <v>3653285</v>
      </c>
      <c r="S54" s="81">
        <f t="shared" si="20"/>
        <v>240.98792100158701</v>
      </c>
      <c r="T54" s="693">
        <f t="shared" si="21"/>
        <v>133.6591317773302</v>
      </c>
    </row>
    <row r="55" spans="1:20" s="1" customFormat="1" x14ac:dyDescent="0.2">
      <c r="A55" s="504"/>
      <c r="B55" s="358"/>
      <c r="C55" s="358"/>
      <c r="D55" s="358" t="s">
        <v>363</v>
      </c>
      <c r="E55" s="358"/>
      <c r="F55" s="358"/>
      <c r="G55" s="358"/>
      <c r="H55" s="24">
        <v>633</v>
      </c>
      <c r="I55" s="8" t="s">
        <v>24</v>
      </c>
      <c r="J55" s="12">
        <f t="shared" ref="J55:R55" si="24">SUM(J56:J57)</f>
        <v>949030</v>
      </c>
      <c r="K55" s="12">
        <f t="shared" si="24"/>
        <v>800000</v>
      </c>
      <c r="L55" s="12">
        <f t="shared" si="24"/>
        <v>1280000</v>
      </c>
      <c r="M55" s="12">
        <f t="shared" si="24"/>
        <v>3700000</v>
      </c>
      <c r="N55" s="12">
        <f t="shared" si="24"/>
        <v>491074.39113411639</v>
      </c>
      <c r="O55" s="12">
        <f t="shared" si="24"/>
        <v>915235</v>
      </c>
      <c r="P55" s="624">
        <f t="shared" si="24"/>
        <v>6895838.1074999999</v>
      </c>
      <c r="Q55" s="12">
        <f t="shared" si="24"/>
        <v>839135</v>
      </c>
      <c r="R55" s="12">
        <f t="shared" si="24"/>
        <v>889135</v>
      </c>
      <c r="S55" s="48">
        <f t="shared" si="20"/>
        <v>91.685195605500226</v>
      </c>
      <c r="T55" s="694">
        <f t="shared" si="21"/>
        <v>105.95851680599667</v>
      </c>
    </row>
    <row r="56" spans="1:20" ht="22.5" x14ac:dyDescent="0.2">
      <c r="A56" s="504" t="s">
        <v>471</v>
      </c>
      <c r="B56" s="358"/>
      <c r="C56" s="358"/>
      <c r="D56" s="358"/>
      <c r="E56" s="358"/>
      <c r="F56" s="358"/>
      <c r="G56" s="358"/>
      <c r="H56" s="885">
        <v>6331</v>
      </c>
      <c r="I56" s="15" t="s">
        <v>631</v>
      </c>
      <c r="J56" s="16">
        <v>949030</v>
      </c>
      <c r="K56" s="16">
        <v>600000</v>
      </c>
      <c r="L56" s="16">
        <v>1180000</v>
      </c>
      <c r="M56" s="16">
        <v>2700000</v>
      </c>
      <c r="N56" s="16">
        <f>M56/7.5345</f>
        <v>358351.58271949034</v>
      </c>
      <c r="O56" s="714">
        <v>426135</v>
      </c>
      <c r="P56" s="644">
        <f>O56*7.5345</f>
        <v>3210714.1575000002</v>
      </c>
      <c r="Q56" s="16">
        <v>406635</v>
      </c>
      <c r="R56" s="16">
        <v>406635</v>
      </c>
      <c r="S56" s="48">
        <f t="shared" si="20"/>
        <v>95.423985356753136</v>
      </c>
      <c r="T56" s="694">
        <f t="shared" si="21"/>
        <v>100</v>
      </c>
    </row>
    <row r="57" spans="1:20" ht="22.5" x14ac:dyDescent="0.2">
      <c r="A57" s="504" t="s">
        <v>472</v>
      </c>
      <c r="B57" s="358"/>
      <c r="C57" s="358"/>
      <c r="D57" s="358"/>
      <c r="E57" s="358"/>
      <c r="F57" s="358"/>
      <c r="G57" s="358"/>
      <c r="H57" s="25">
        <v>6332</v>
      </c>
      <c r="I57" s="15" t="s">
        <v>632</v>
      </c>
      <c r="J57" s="16">
        <v>0</v>
      </c>
      <c r="K57" s="16">
        <v>200000</v>
      </c>
      <c r="L57" s="16">
        <v>100000</v>
      </c>
      <c r="M57" s="16">
        <v>1000000</v>
      </c>
      <c r="N57" s="16">
        <f>M57/7.5345</f>
        <v>132722.80841462605</v>
      </c>
      <c r="O57" s="16">
        <v>489100</v>
      </c>
      <c r="P57" s="644">
        <f>O57*7.5345</f>
        <v>3685123.95</v>
      </c>
      <c r="Q57" s="16">
        <v>432500</v>
      </c>
      <c r="R57" s="16">
        <v>482500</v>
      </c>
      <c r="S57" s="48">
        <f t="shared" si="20"/>
        <v>88.427724391739929</v>
      </c>
      <c r="T57" s="694">
        <f t="shared" si="21"/>
        <v>111.56069364161849</v>
      </c>
    </row>
    <row r="58" spans="1:20" s="1" customFormat="1" x14ac:dyDescent="0.2">
      <c r="A58" s="504"/>
      <c r="B58" s="358"/>
      <c r="C58" s="358"/>
      <c r="D58" s="358" t="s">
        <v>363</v>
      </c>
      <c r="E58" s="358"/>
      <c r="F58" s="358"/>
      <c r="G58" s="358"/>
      <c r="H58" s="24">
        <v>634</v>
      </c>
      <c r="I58" s="8" t="s">
        <v>367</v>
      </c>
      <c r="J58" s="12" t="e">
        <f>SUM(J59:J62)</f>
        <v>#REF!</v>
      </c>
      <c r="K58" s="12" t="e">
        <f>SUM(K59:K62)</f>
        <v>#REF!</v>
      </c>
      <c r="L58" s="12" t="e">
        <f>SUM(L59:L62)</f>
        <v>#REF!</v>
      </c>
      <c r="M58" s="12">
        <f>M59+M60</f>
        <v>80000</v>
      </c>
      <c r="N58" s="12">
        <f>N59+N60</f>
        <v>10617.824673170084</v>
      </c>
      <c r="O58" s="12">
        <f>O59+O60</f>
        <v>0</v>
      </c>
      <c r="P58" s="624">
        <f>P59+P60</f>
        <v>0</v>
      </c>
      <c r="Q58" s="12">
        <v>0</v>
      </c>
      <c r="R58" s="12">
        <v>0</v>
      </c>
      <c r="S58" s="48" t="e">
        <f t="shared" si="20"/>
        <v>#DIV/0!</v>
      </c>
      <c r="T58" s="694" t="e">
        <f t="shared" si="21"/>
        <v>#DIV/0!</v>
      </c>
    </row>
    <row r="59" spans="1:20" x14ac:dyDescent="0.2">
      <c r="A59" s="504" t="s">
        <v>473</v>
      </c>
      <c r="B59" s="358"/>
      <c r="C59" s="358"/>
      <c r="D59" s="358"/>
      <c r="E59" s="358"/>
      <c r="F59" s="358"/>
      <c r="G59" s="358"/>
      <c r="H59" s="25">
        <v>6341</v>
      </c>
      <c r="I59" s="15" t="s">
        <v>370</v>
      </c>
      <c r="J59" s="16">
        <v>0</v>
      </c>
      <c r="K59" s="16">
        <v>0</v>
      </c>
      <c r="L59" s="16">
        <v>0</v>
      </c>
      <c r="M59" s="16">
        <v>80000</v>
      </c>
      <c r="N59" s="16">
        <f>M59/7.5345</f>
        <v>10617.824673170084</v>
      </c>
      <c r="O59" s="16">
        <v>0</v>
      </c>
      <c r="P59" s="644">
        <f>O59*7.5345</f>
        <v>0</v>
      </c>
      <c r="Q59" s="16">
        <v>0</v>
      </c>
      <c r="R59" s="16">
        <v>0</v>
      </c>
      <c r="S59" s="48" t="e">
        <f t="shared" si="20"/>
        <v>#DIV/0!</v>
      </c>
      <c r="T59" s="694" t="e">
        <f t="shared" si="21"/>
        <v>#DIV/0!</v>
      </c>
    </row>
    <row r="60" spans="1:20" x14ac:dyDescent="0.2">
      <c r="A60" s="504" t="s">
        <v>474</v>
      </c>
      <c r="B60" s="358"/>
      <c r="C60" s="358"/>
      <c r="D60" s="358"/>
      <c r="E60" s="358"/>
      <c r="F60" s="358"/>
      <c r="G60" s="358"/>
      <c r="H60" s="25">
        <v>6342</v>
      </c>
      <c r="I60" s="47" t="s">
        <v>369</v>
      </c>
      <c r="J60" s="16">
        <v>0</v>
      </c>
      <c r="K60" s="16">
        <v>0</v>
      </c>
      <c r="L60" s="16">
        <v>0</v>
      </c>
      <c r="M60" s="16"/>
      <c r="N60" s="16">
        <f>M60/7.5345</f>
        <v>0</v>
      </c>
      <c r="O60" s="16">
        <v>0</v>
      </c>
      <c r="P60" s="644"/>
      <c r="Q60" s="16">
        <v>0</v>
      </c>
      <c r="R60" s="16">
        <v>0</v>
      </c>
      <c r="S60" s="48">
        <v>0</v>
      </c>
      <c r="T60" s="694" t="e">
        <f t="shared" si="21"/>
        <v>#DIV/0!</v>
      </c>
    </row>
    <row r="61" spans="1:20" s="1" customFormat="1" ht="22.5" x14ac:dyDescent="0.2">
      <c r="A61" s="504"/>
      <c r="B61" s="358"/>
      <c r="C61" s="358"/>
      <c r="D61" s="358" t="s">
        <v>363</v>
      </c>
      <c r="E61" s="358"/>
      <c r="F61" s="358"/>
      <c r="G61" s="358"/>
      <c r="H61" s="24">
        <v>638</v>
      </c>
      <c r="I61" s="8" t="s">
        <v>368</v>
      </c>
      <c r="J61" s="12" t="e">
        <f>SUM(J62:J67)</f>
        <v>#REF!</v>
      </c>
      <c r="K61" s="12" t="e">
        <f>SUM(K62:K67)</f>
        <v>#REF!</v>
      </c>
      <c r="L61" s="12" t="e">
        <f>SUM(L62:L67)</f>
        <v>#REF!</v>
      </c>
      <c r="M61" s="12">
        <f t="shared" ref="M61:N61" si="25">SUM(M62:M64)</f>
        <v>365000</v>
      </c>
      <c r="N61" s="12">
        <f t="shared" si="25"/>
        <v>48443.825071338506</v>
      </c>
      <c r="O61" s="12">
        <f>SUM(O62:O65)</f>
        <v>218965</v>
      </c>
      <c r="P61" s="12">
        <f t="shared" ref="P61:R61" si="26">SUM(P62:P65)</f>
        <v>1557569.5125</v>
      </c>
      <c r="Q61" s="12">
        <f t="shared" si="26"/>
        <v>1894150</v>
      </c>
      <c r="R61" s="12">
        <f t="shared" si="26"/>
        <v>2764150</v>
      </c>
      <c r="S61" s="48">
        <f>Q61/O61*100</f>
        <v>865.04692530769751</v>
      </c>
      <c r="T61" s="694">
        <f t="shared" si="21"/>
        <v>145.9308924847557</v>
      </c>
    </row>
    <row r="62" spans="1:20" ht="22.5" x14ac:dyDescent="0.2">
      <c r="A62" s="504" t="s">
        <v>470</v>
      </c>
      <c r="B62" s="358"/>
      <c r="C62" s="358"/>
      <c r="D62" s="358"/>
      <c r="E62" s="358"/>
      <c r="F62" s="358"/>
      <c r="G62" s="358"/>
      <c r="H62" s="25">
        <v>6381</v>
      </c>
      <c r="I62" s="15" t="s">
        <v>371</v>
      </c>
      <c r="J62" s="16">
        <v>0</v>
      </c>
      <c r="K62" s="16">
        <v>0</v>
      </c>
      <c r="L62" s="16">
        <v>0</v>
      </c>
      <c r="M62" s="16">
        <v>365000</v>
      </c>
      <c r="N62" s="16">
        <f>M62/7.5345</f>
        <v>48443.825071338506</v>
      </c>
      <c r="O62" s="16">
        <v>155125</v>
      </c>
      <c r="P62" s="644">
        <f>O62*7.5345</f>
        <v>1168789.3125</v>
      </c>
      <c r="Q62" s="16">
        <v>155125</v>
      </c>
      <c r="R62" s="16">
        <v>155125</v>
      </c>
      <c r="S62" s="48">
        <f>Q62/O62*100</f>
        <v>100</v>
      </c>
      <c r="T62" s="694">
        <f t="shared" si="21"/>
        <v>100</v>
      </c>
    </row>
    <row r="63" spans="1:20" ht="22.5" x14ac:dyDescent="0.2">
      <c r="A63" s="504" t="s">
        <v>713</v>
      </c>
      <c r="B63" s="358"/>
      <c r="C63" s="358"/>
      <c r="D63" s="358"/>
      <c r="E63" s="358"/>
      <c r="F63" s="358"/>
      <c r="G63" s="358"/>
      <c r="H63" s="25">
        <v>6381</v>
      </c>
      <c r="I63" s="15" t="s">
        <v>371</v>
      </c>
      <c r="J63" s="16"/>
      <c r="K63" s="16"/>
      <c r="L63" s="16"/>
      <c r="M63" s="16"/>
      <c r="N63" s="16"/>
      <c r="O63" s="16">
        <v>12240</v>
      </c>
      <c r="P63" s="644"/>
      <c r="Q63" s="16">
        <v>0</v>
      </c>
      <c r="R63" s="16">
        <v>0</v>
      </c>
      <c r="S63" s="48">
        <f>Q63/O63*100</f>
        <v>0</v>
      </c>
      <c r="T63" s="694">
        <v>0</v>
      </c>
    </row>
    <row r="64" spans="1:20" ht="22.5" x14ac:dyDescent="0.2">
      <c r="A64" s="504" t="s">
        <v>714</v>
      </c>
      <c r="B64" s="358"/>
      <c r="C64" s="358"/>
      <c r="D64" s="358"/>
      <c r="E64" s="358"/>
      <c r="F64" s="358"/>
      <c r="G64" s="358"/>
      <c r="H64" s="25">
        <v>6382</v>
      </c>
      <c r="I64" s="15" t="s">
        <v>375</v>
      </c>
      <c r="J64" s="16"/>
      <c r="K64" s="16"/>
      <c r="L64" s="16"/>
      <c r="M64" s="16">
        <v>0</v>
      </c>
      <c r="N64" s="16">
        <f>M64/7.5345</f>
        <v>0</v>
      </c>
      <c r="O64" s="16">
        <v>51600</v>
      </c>
      <c r="P64" s="644">
        <f>O64*7.5345</f>
        <v>388780.2</v>
      </c>
      <c r="Q64" s="16">
        <v>350000</v>
      </c>
      <c r="R64" s="16">
        <v>0</v>
      </c>
      <c r="S64" s="48">
        <v>0</v>
      </c>
      <c r="T64" s="694">
        <f t="shared" si="21"/>
        <v>0</v>
      </c>
    </row>
    <row r="65" spans="1:20" ht="22.5" x14ac:dyDescent="0.2">
      <c r="A65" s="504" t="s">
        <v>713</v>
      </c>
      <c r="B65" s="358"/>
      <c r="C65" s="358"/>
      <c r="D65" s="358"/>
      <c r="E65" s="358"/>
      <c r="F65" s="358"/>
      <c r="G65" s="358"/>
      <c r="H65" s="25">
        <v>6382</v>
      </c>
      <c r="I65" s="15" t="s">
        <v>375</v>
      </c>
      <c r="J65" s="16"/>
      <c r="K65" s="16"/>
      <c r="L65" s="16"/>
      <c r="M65" s="16"/>
      <c r="N65" s="16"/>
      <c r="O65" s="16">
        <v>0</v>
      </c>
      <c r="P65" s="644"/>
      <c r="Q65" s="16">
        <v>1389025</v>
      </c>
      <c r="R65" s="16">
        <v>2609025</v>
      </c>
      <c r="S65" s="48">
        <v>0</v>
      </c>
      <c r="T65" s="694">
        <f t="shared" si="21"/>
        <v>187.83139252353268</v>
      </c>
    </row>
    <row r="66" spans="1:20" s="84" customFormat="1" x14ac:dyDescent="0.2">
      <c r="A66" s="505"/>
      <c r="B66" s="368"/>
      <c r="C66" s="368"/>
      <c r="D66" s="368"/>
      <c r="E66" s="368"/>
      <c r="F66" s="368"/>
      <c r="G66" s="368"/>
      <c r="H66" s="85">
        <v>64</v>
      </c>
      <c r="I66" s="86" t="s">
        <v>25</v>
      </c>
      <c r="J66" s="87" t="e">
        <f>SUM(J67+J70)</f>
        <v>#REF!</v>
      </c>
      <c r="K66" s="87" t="e">
        <f>SUM(K67,K70)</f>
        <v>#REF!</v>
      </c>
      <c r="L66" s="87" t="e">
        <f t="shared" ref="L66:R66" si="27">SUM(L67+L70)</f>
        <v>#REF!</v>
      </c>
      <c r="M66" s="87">
        <f t="shared" si="27"/>
        <v>497500</v>
      </c>
      <c r="N66" s="87">
        <f t="shared" si="27"/>
        <v>66029.597186276456</v>
      </c>
      <c r="O66" s="87">
        <f t="shared" si="27"/>
        <v>71700</v>
      </c>
      <c r="P66" s="645">
        <f t="shared" si="27"/>
        <v>540223.65</v>
      </c>
      <c r="Q66" s="87">
        <f t="shared" si="27"/>
        <v>72700</v>
      </c>
      <c r="R66" s="87">
        <f t="shared" si="27"/>
        <v>73200</v>
      </c>
      <c r="S66" s="81">
        <f t="shared" ref="S66:S79" si="28">Q66/O66*100</f>
        <v>101.39470013947</v>
      </c>
      <c r="T66" s="693">
        <f t="shared" si="21"/>
        <v>100.68775790921596</v>
      </c>
    </row>
    <row r="67" spans="1:20" s="1" customFormat="1" x14ac:dyDescent="0.2">
      <c r="A67" s="504"/>
      <c r="B67" s="358"/>
      <c r="C67" s="358"/>
      <c r="D67" s="358"/>
      <c r="E67" s="358"/>
      <c r="F67" s="358"/>
      <c r="G67" s="358"/>
      <c r="H67" s="24">
        <v>641</v>
      </c>
      <c r="I67" s="8" t="s">
        <v>26</v>
      </c>
      <c r="J67" s="12">
        <f t="shared" ref="J67:R67" si="29">SUM(J68:J69)</f>
        <v>2317</v>
      </c>
      <c r="K67" s="12">
        <f t="shared" si="29"/>
        <v>6000</v>
      </c>
      <c r="L67" s="12">
        <f t="shared" si="29"/>
        <v>6000</v>
      </c>
      <c r="M67" s="12">
        <f t="shared" si="29"/>
        <v>6000</v>
      </c>
      <c r="N67" s="12">
        <f t="shared" si="29"/>
        <v>796.33685048775624</v>
      </c>
      <c r="O67" s="12">
        <f t="shared" si="29"/>
        <v>1000</v>
      </c>
      <c r="P67" s="624">
        <f t="shared" si="29"/>
        <v>7534.5</v>
      </c>
      <c r="Q67" s="12">
        <f t="shared" si="29"/>
        <v>1000</v>
      </c>
      <c r="R67" s="12">
        <f t="shared" si="29"/>
        <v>1000</v>
      </c>
      <c r="S67" s="48">
        <f t="shared" si="28"/>
        <v>100</v>
      </c>
      <c r="T67" s="694">
        <f t="shared" si="21"/>
        <v>100</v>
      </c>
    </row>
    <row r="68" spans="1:20" x14ac:dyDescent="0.2">
      <c r="A68" s="504" t="s">
        <v>477</v>
      </c>
      <c r="B68" s="358"/>
      <c r="C68" s="358"/>
      <c r="D68" s="358"/>
      <c r="E68" s="358"/>
      <c r="F68" s="358"/>
      <c r="G68" s="358"/>
      <c r="H68" s="25">
        <v>64132</v>
      </c>
      <c r="I68" s="47" t="s">
        <v>149</v>
      </c>
      <c r="J68" s="16">
        <v>2317</v>
      </c>
      <c r="K68" s="16">
        <v>5000</v>
      </c>
      <c r="L68" s="16">
        <v>5000</v>
      </c>
      <c r="M68" s="16">
        <v>1000</v>
      </c>
      <c r="N68" s="16">
        <f>M68/7.5345</f>
        <v>132.72280841462606</v>
      </c>
      <c r="O68" s="16">
        <v>500</v>
      </c>
      <c r="P68" s="644">
        <f>O68*7.5345</f>
        <v>3767.25</v>
      </c>
      <c r="Q68" s="16">
        <v>500</v>
      </c>
      <c r="R68" s="16">
        <v>500</v>
      </c>
      <c r="S68" s="48">
        <f t="shared" si="28"/>
        <v>100</v>
      </c>
      <c r="T68" s="694">
        <f t="shared" si="21"/>
        <v>100</v>
      </c>
    </row>
    <row r="69" spans="1:20" x14ac:dyDescent="0.2">
      <c r="A69" s="504" t="s">
        <v>477</v>
      </c>
      <c r="B69" s="358"/>
      <c r="C69" s="358"/>
      <c r="D69" s="358"/>
      <c r="E69" s="358"/>
      <c r="F69" s="358"/>
      <c r="G69" s="358"/>
      <c r="H69" s="25">
        <v>64143</v>
      </c>
      <c r="I69" s="15" t="s">
        <v>27</v>
      </c>
      <c r="J69" s="16">
        <v>0</v>
      </c>
      <c r="K69" s="16">
        <v>1000</v>
      </c>
      <c r="L69" s="16">
        <v>1000</v>
      </c>
      <c r="M69" s="16">
        <v>5000</v>
      </c>
      <c r="N69" s="16">
        <f>M69/7.5345</f>
        <v>663.61404207313024</v>
      </c>
      <c r="O69" s="16">
        <v>500</v>
      </c>
      <c r="P69" s="644">
        <f>O69*7.5345</f>
        <v>3767.25</v>
      </c>
      <c r="Q69" s="16">
        <v>500</v>
      </c>
      <c r="R69" s="16">
        <v>500</v>
      </c>
      <c r="S69" s="48">
        <f t="shared" si="28"/>
        <v>100</v>
      </c>
      <c r="T69" s="694">
        <f t="shared" si="21"/>
        <v>100</v>
      </c>
    </row>
    <row r="70" spans="1:20" s="1" customFormat="1" x14ac:dyDescent="0.2">
      <c r="A70" s="504"/>
      <c r="B70" s="358"/>
      <c r="C70" s="358"/>
      <c r="D70" s="358"/>
      <c r="E70" s="358"/>
      <c r="F70" s="358" t="s">
        <v>365</v>
      </c>
      <c r="G70" s="358"/>
      <c r="H70" s="24">
        <v>642</v>
      </c>
      <c r="I70" s="8" t="s">
        <v>28</v>
      </c>
      <c r="J70" s="12" t="e">
        <f>SUM(J71,#REF!,J75,#REF!,J76)</f>
        <v>#REF!</v>
      </c>
      <c r="K70" s="12" t="e">
        <f>SUM(K71,#REF!,K75,#REF!,K76)</f>
        <v>#REF!</v>
      </c>
      <c r="L70" s="12" t="e">
        <f>SUM(L71,#REF!,L75,#REF!,L76)</f>
        <v>#REF!</v>
      </c>
      <c r="M70" s="12">
        <f t="shared" ref="M70:R70" si="30">SUM(M71:M76)</f>
        <v>491500</v>
      </c>
      <c r="N70" s="12">
        <f t="shared" si="30"/>
        <v>65233.260335788706</v>
      </c>
      <c r="O70" s="12">
        <f t="shared" si="30"/>
        <v>70700</v>
      </c>
      <c r="P70" s="624">
        <f t="shared" si="30"/>
        <v>532689.15</v>
      </c>
      <c r="Q70" s="12">
        <f t="shared" si="30"/>
        <v>71700</v>
      </c>
      <c r="R70" s="12">
        <f t="shared" si="30"/>
        <v>72200</v>
      </c>
      <c r="S70" s="48">
        <f t="shared" si="28"/>
        <v>101.41442715700141</v>
      </c>
      <c r="T70" s="694">
        <f t="shared" si="21"/>
        <v>100.69735006973501</v>
      </c>
    </row>
    <row r="71" spans="1:20" s="29" customFormat="1" x14ac:dyDescent="0.2">
      <c r="A71" s="504" t="s">
        <v>479</v>
      </c>
      <c r="B71" s="371"/>
      <c r="C71" s="371"/>
      <c r="D71" s="371"/>
      <c r="E71" s="371"/>
      <c r="F71" s="371"/>
      <c r="G71" s="371"/>
      <c r="H71" s="27">
        <v>6421</v>
      </c>
      <c r="I71" s="10" t="s">
        <v>29</v>
      </c>
      <c r="J71" s="11">
        <v>68144</v>
      </c>
      <c r="K71" s="11">
        <v>40000</v>
      </c>
      <c r="L71" s="11">
        <v>40000</v>
      </c>
      <c r="M71" s="11">
        <v>35000</v>
      </c>
      <c r="N71" s="11">
        <f t="shared" ref="N71:N76" si="31">M71/7.5345</f>
        <v>4645.298294511912</v>
      </c>
      <c r="O71" s="11">
        <v>7500</v>
      </c>
      <c r="P71" s="644">
        <f t="shared" ref="P71:P76" si="32">O71*7.5345</f>
        <v>56508.75</v>
      </c>
      <c r="Q71" s="11">
        <v>8000</v>
      </c>
      <c r="R71" s="11">
        <v>8000</v>
      </c>
      <c r="S71" s="48">
        <f t="shared" si="28"/>
        <v>106.66666666666667</v>
      </c>
      <c r="T71" s="694">
        <f t="shared" si="21"/>
        <v>100</v>
      </c>
    </row>
    <row r="72" spans="1:20" x14ac:dyDescent="0.2">
      <c r="A72" s="506" t="s">
        <v>479</v>
      </c>
      <c r="B72" s="362"/>
      <c r="C72" s="362"/>
      <c r="D72" s="362"/>
      <c r="E72" s="362"/>
      <c r="F72" s="362"/>
      <c r="G72" s="362"/>
      <c r="H72" s="35">
        <v>64222</v>
      </c>
      <c r="I72" s="36" t="s">
        <v>150</v>
      </c>
      <c r="J72" s="17">
        <v>78532</v>
      </c>
      <c r="K72" s="17">
        <v>200000</v>
      </c>
      <c r="L72" s="17">
        <v>100000</v>
      </c>
      <c r="M72" s="17">
        <v>300000</v>
      </c>
      <c r="N72" s="16">
        <f t="shared" si="31"/>
        <v>39816.842524387816</v>
      </c>
      <c r="O72" s="17">
        <v>45000</v>
      </c>
      <c r="P72" s="644">
        <f t="shared" si="32"/>
        <v>339052.5</v>
      </c>
      <c r="Q72" s="17">
        <v>45000</v>
      </c>
      <c r="R72" s="17">
        <v>45000</v>
      </c>
      <c r="S72" s="48">
        <f t="shared" si="28"/>
        <v>100</v>
      </c>
      <c r="T72" s="694">
        <f t="shared" si="21"/>
        <v>100</v>
      </c>
    </row>
    <row r="73" spans="1:20" x14ac:dyDescent="0.2">
      <c r="A73" s="504" t="s">
        <v>479</v>
      </c>
      <c r="B73" s="358"/>
      <c r="C73" s="358"/>
      <c r="D73" s="358"/>
      <c r="E73" s="358"/>
      <c r="F73" s="358"/>
      <c r="G73" s="358"/>
      <c r="H73" s="25">
        <v>64222</v>
      </c>
      <c r="I73" s="15" t="s">
        <v>442</v>
      </c>
      <c r="J73" s="16">
        <v>83837</v>
      </c>
      <c r="K73" s="16">
        <v>50000</v>
      </c>
      <c r="L73" s="16">
        <v>50000</v>
      </c>
      <c r="M73" s="16">
        <v>30000</v>
      </c>
      <c r="N73" s="16">
        <f t="shared" si="31"/>
        <v>3981.6842524387812</v>
      </c>
      <c r="O73" s="16">
        <v>4000</v>
      </c>
      <c r="P73" s="644">
        <f t="shared" si="32"/>
        <v>30138</v>
      </c>
      <c r="Q73" s="16">
        <v>4000</v>
      </c>
      <c r="R73" s="16">
        <v>4000</v>
      </c>
      <c r="S73" s="48">
        <f t="shared" si="28"/>
        <v>100</v>
      </c>
      <c r="T73" s="694">
        <f t="shared" si="21"/>
        <v>100</v>
      </c>
    </row>
    <row r="74" spans="1:20" x14ac:dyDescent="0.2">
      <c r="A74" s="504" t="s">
        <v>479</v>
      </c>
      <c r="B74" s="358"/>
      <c r="C74" s="358"/>
      <c r="D74" s="358"/>
      <c r="E74" s="358"/>
      <c r="F74" s="358"/>
      <c r="G74" s="358"/>
      <c r="H74" s="25">
        <v>64225</v>
      </c>
      <c r="I74" s="15" t="s">
        <v>129</v>
      </c>
      <c r="J74" s="16">
        <v>13319</v>
      </c>
      <c r="K74" s="16">
        <v>20000</v>
      </c>
      <c r="L74" s="16">
        <v>20000</v>
      </c>
      <c r="M74" s="16">
        <v>50000</v>
      </c>
      <c r="N74" s="16">
        <f t="shared" si="31"/>
        <v>6636.1404207313026</v>
      </c>
      <c r="O74" s="16">
        <v>9000</v>
      </c>
      <c r="P74" s="644">
        <f t="shared" si="32"/>
        <v>67810.5</v>
      </c>
      <c r="Q74" s="16">
        <v>9500</v>
      </c>
      <c r="R74" s="16">
        <v>10000</v>
      </c>
      <c r="S74" s="48">
        <f t="shared" si="28"/>
        <v>105.55555555555556</v>
      </c>
      <c r="T74" s="694">
        <f t="shared" si="21"/>
        <v>105.26315789473684</v>
      </c>
    </row>
    <row r="75" spans="1:20" ht="22.5" x14ac:dyDescent="0.2">
      <c r="A75" s="504" t="s">
        <v>712</v>
      </c>
      <c r="B75" s="358"/>
      <c r="C75" s="358"/>
      <c r="D75" s="358"/>
      <c r="E75" s="358"/>
      <c r="F75" s="358"/>
      <c r="G75" s="358"/>
      <c r="H75" s="24">
        <v>6423</v>
      </c>
      <c r="I75" s="8" t="s">
        <v>478</v>
      </c>
      <c r="J75" s="12" t="e">
        <f>SUM(#REF!)</f>
        <v>#REF!</v>
      </c>
      <c r="K75" s="12" t="e">
        <f>SUM(#REF!)</f>
        <v>#REF!</v>
      </c>
      <c r="L75" s="12" t="e">
        <f>SUM(#REF!)</f>
        <v>#REF!</v>
      </c>
      <c r="M75" s="12">
        <v>75000</v>
      </c>
      <c r="N75" s="16">
        <f t="shared" si="31"/>
        <v>9954.2106310969539</v>
      </c>
      <c r="O75" s="12">
        <v>5000</v>
      </c>
      <c r="P75" s="644">
        <f t="shared" si="32"/>
        <v>37672.5</v>
      </c>
      <c r="Q75" s="12">
        <v>5000</v>
      </c>
      <c r="R75" s="12">
        <v>5000</v>
      </c>
      <c r="S75" s="48">
        <f t="shared" si="28"/>
        <v>100</v>
      </c>
      <c r="T75" s="694">
        <f t="shared" si="21"/>
        <v>100</v>
      </c>
    </row>
    <row r="76" spans="1:20" s="29" customFormat="1" x14ac:dyDescent="0.2">
      <c r="A76" s="504" t="s">
        <v>479</v>
      </c>
      <c r="B76" s="358"/>
      <c r="C76" s="358"/>
      <c r="D76" s="358"/>
      <c r="E76" s="358"/>
      <c r="F76" s="358"/>
      <c r="G76" s="358"/>
      <c r="H76" s="28">
        <v>6429</v>
      </c>
      <c r="I76" s="9" t="s">
        <v>30</v>
      </c>
      <c r="J76" s="30" t="e">
        <f>SUM(#REF!)</f>
        <v>#REF!</v>
      </c>
      <c r="K76" s="30" t="e">
        <f>SUM(#REF!)</f>
        <v>#REF!</v>
      </c>
      <c r="L76" s="30" t="e">
        <f>SUM(#REF!)</f>
        <v>#REF!</v>
      </c>
      <c r="M76" s="30">
        <v>1500</v>
      </c>
      <c r="N76" s="16">
        <f t="shared" si="31"/>
        <v>199.08421262193906</v>
      </c>
      <c r="O76" s="12">
        <v>200</v>
      </c>
      <c r="P76" s="644">
        <f t="shared" si="32"/>
        <v>1506.9</v>
      </c>
      <c r="Q76" s="12">
        <v>200</v>
      </c>
      <c r="R76" s="12">
        <v>200</v>
      </c>
      <c r="S76" s="48">
        <f t="shared" si="28"/>
        <v>100</v>
      </c>
      <c r="T76" s="694">
        <f t="shared" si="21"/>
        <v>100</v>
      </c>
    </row>
    <row r="77" spans="1:20" s="701" customFormat="1" ht="22.5" x14ac:dyDescent="0.2">
      <c r="A77" s="505"/>
      <c r="B77" s="696"/>
      <c r="C77" s="696"/>
      <c r="D77" s="696"/>
      <c r="E77" s="696"/>
      <c r="F77" s="696"/>
      <c r="G77" s="696"/>
      <c r="H77" s="697">
        <v>65</v>
      </c>
      <c r="I77" s="698" t="s">
        <v>151</v>
      </c>
      <c r="J77" s="699" t="e">
        <f t="shared" ref="J77:R77" si="33">SUM(J78+J82+J86)</f>
        <v>#REF!</v>
      </c>
      <c r="K77" s="699" t="e">
        <f t="shared" si="33"/>
        <v>#REF!</v>
      </c>
      <c r="L77" s="699" t="e">
        <f t="shared" si="33"/>
        <v>#REF!</v>
      </c>
      <c r="M77" s="699">
        <f t="shared" si="33"/>
        <v>1513500</v>
      </c>
      <c r="N77" s="699">
        <f t="shared" si="33"/>
        <v>200875.97053553653</v>
      </c>
      <c r="O77" s="699">
        <f t="shared" si="33"/>
        <v>283000</v>
      </c>
      <c r="P77" s="700">
        <f t="shared" si="33"/>
        <v>2132263.5</v>
      </c>
      <c r="Q77" s="699">
        <f t="shared" si="33"/>
        <v>313000</v>
      </c>
      <c r="R77" s="699">
        <f t="shared" si="33"/>
        <v>318000</v>
      </c>
      <c r="S77" s="81">
        <f t="shared" si="28"/>
        <v>110.60070671378092</v>
      </c>
      <c r="T77" s="693">
        <f t="shared" si="21"/>
        <v>101.59744408945687</v>
      </c>
    </row>
    <row r="78" spans="1:20" s="1" customFormat="1" x14ac:dyDescent="0.2">
      <c r="A78" s="504"/>
      <c r="B78" s="358"/>
      <c r="C78" s="358"/>
      <c r="D78" s="358"/>
      <c r="E78" s="358"/>
      <c r="F78" s="358"/>
      <c r="G78" s="358"/>
      <c r="H78" s="24">
        <v>651</v>
      </c>
      <c r="I78" s="8" t="s">
        <v>132</v>
      </c>
      <c r="J78" s="12" t="e">
        <f>SUM(J79+J80)</f>
        <v>#REF!</v>
      </c>
      <c r="K78" s="12" t="e">
        <f>SUM(K79+K80+K81)</f>
        <v>#REF!</v>
      </c>
      <c r="L78" s="12" t="e">
        <f>SUM(L79+L80+L81)</f>
        <v>#REF!</v>
      </c>
      <c r="M78" s="12">
        <f t="shared" ref="M78:R78" si="34">M79+M80+M81</f>
        <v>90000</v>
      </c>
      <c r="N78" s="12">
        <f t="shared" si="34"/>
        <v>11945.052757316345</v>
      </c>
      <c r="O78" s="12">
        <f t="shared" si="34"/>
        <v>12500</v>
      </c>
      <c r="P78" s="624">
        <f t="shared" si="34"/>
        <v>94181.25</v>
      </c>
      <c r="Q78" s="12">
        <f t="shared" si="34"/>
        <v>17500</v>
      </c>
      <c r="R78" s="12">
        <f t="shared" si="34"/>
        <v>17500</v>
      </c>
      <c r="S78" s="48">
        <f t="shared" si="28"/>
        <v>140</v>
      </c>
      <c r="T78" s="694">
        <f t="shared" si="21"/>
        <v>100</v>
      </c>
    </row>
    <row r="79" spans="1:20" s="42" customFormat="1" x14ac:dyDescent="0.2">
      <c r="A79" s="504" t="s">
        <v>479</v>
      </c>
      <c r="B79" s="358"/>
      <c r="C79" s="358"/>
      <c r="D79" s="358"/>
      <c r="E79" s="358"/>
      <c r="F79" s="358"/>
      <c r="G79" s="358"/>
      <c r="H79" s="27">
        <v>6512</v>
      </c>
      <c r="I79" s="10" t="s">
        <v>152</v>
      </c>
      <c r="J79" s="11" t="e">
        <f>SUM(#REF!)</f>
        <v>#REF!</v>
      </c>
      <c r="K79" s="11" t="e">
        <f>SUM(#REF!)</f>
        <v>#REF!</v>
      </c>
      <c r="L79" s="11" t="e">
        <f>SUM(#REF!)</f>
        <v>#REF!</v>
      </c>
      <c r="M79" s="11">
        <v>75000</v>
      </c>
      <c r="N79" s="16">
        <f>M79/7.5345</f>
        <v>9954.2106310969539</v>
      </c>
      <c r="O79" s="16">
        <v>10000</v>
      </c>
      <c r="P79" s="644">
        <f>O79*7.5345</f>
        <v>75345</v>
      </c>
      <c r="Q79" s="16">
        <v>15000</v>
      </c>
      <c r="R79" s="16">
        <v>15000</v>
      </c>
      <c r="S79" s="48">
        <f t="shared" si="28"/>
        <v>150</v>
      </c>
      <c r="T79" s="694">
        <f t="shared" si="21"/>
        <v>100</v>
      </c>
    </row>
    <row r="80" spans="1:20" s="42" customFormat="1" x14ac:dyDescent="0.2">
      <c r="A80" s="504" t="s">
        <v>477</v>
      </c>
      <c r="B80" s="358"/>
      <c r="C80" s="358"/>
      <c r="D80" s="358"/>
      <c r="E80" s="358"/>
      <c r="F80" s="358"/>
      <c r="G80" s="358"/>
      <c r="H80" s="27">
        <v>6513</v>
      </c>
      <c r="I80" s="10" t="s">
        <v>31</v>
      </c>
      <c r="J80" s="11" t="e">
        <f>SUM(#REF!,J81)</f>
        <v>#REF!</v>
      </c>
      <c r="K80" s="11" t="e">
        <f>SUM(#REF!)</f>
        <v>#REF!</v>
      </c>
      <c r="L80" s="11" t="e">
        <f>SUM(#REF!)</f>
        <v>#REF!</v>
      </c>
      <c r="M80" s="11">
        <v>0</v>
      </c>
      <c r="N80" s="16">
        <f>M80/7.5345</f>
        <v>0</v>
      </c>
      <c r="O80" s="16">
        <v>0</v>
      </c>
      <c r="P80" s="644">
        <f>O80*7.5345</f>
        <v>0</v>
      </c>
      <c r="Q80" s="16">
        <v>0</v>
      </c>
      <c r="R80" s="16">
        <v>0</v>
      </c>
      <c r="S80" s="48">
        <v>0</v>
      </c>
      <c r="T80" s="694">
        <v>0</v>
      </c>
    </row>
    <row r="81" spans="1:20" s="42" customFormat="1" x14ac:dyDescent="0.2">
      <c r="A81" s="504" t="s">
        <v>479</v>
      </c>
      <c r="B81" s="358"/>
      <c r="C81" s="358"/>
      <c r="D81" s="358"/>
      <c r="E81" s="358"/>
      <c r="F81" s="358"/>
      <c r="G81" s="358"/>
      <c r="H81" s="27">
        <v>6514</v>
      </c>
      <c r="I81" s="10" t="s">
        <v>376</v>
      </c>
      <c r="J81" s="11">
        <v>0</v>
      </c>
      <c r="K81" s="11">
        <v>1000</v>
      </c>
      <c r="L81" s="11">
        <v>1000</v>
      </c>
      <c r="M81" s="11">
        <v>15000</v>
      </c>
      <c r="N81" s="16">
        <f>M81/7.5345</f>
        <v>1990.8421262193906</v>
      </c>
      <c r="O81" s="16">
        <v>2500</v>
      </c>
      <c r="P81" s="644">
        <f>O81*7.5345</f>
        <v>18836.25</v>
      </c>
      <c r="Q81" s="16">
        <v>2500</v>
      </c>
      <c r="R81" s="16">
        <v>2500</v>
      </c>
      <c r="S81" s="48">
        <f>Q81/O81*100</f>
        <v>100</v>
      </c>
      <c r="T81" s="694">
        <f>R81/Q81*100</f>
        <v>100</v>
      </c>
    </row>
    <row r="82" spans="1:20" s="1" customFormat="1" x14ac:dyDescent="0.2">
      <c r="A82" s="504"/>
      <c r="B82" s="358"/>
      <c r="C82" s="358" t="s">
        <v>362</v>
      </c>
      <c r="D82" s="358"/>
      <c r="E82" s="358"/>
      <c r="F82" s="358"/>
      <c r="G82" s="358"/>
      <c r="H82" s="24">
        <v>652</v>
      </c>
      <c r="I82" s="8" t="s">
        <v>32</v>
      </c>
      <c r="J82" s="12" t="e">
        <f t="shared" ref="J82:P82" si="35">SUM(J83+J84+J85)</f>
        <v>#REF!</v>
      </c>
      <c r="K82" s="12" t="e">
        <f t="shared" si="35"/>
        <v>#REF!</v>
      </c>
      <c r="L82" s="12" t="e">
        <f t="shared" si="35"/>
        <v>#REF!</v>
      </c>
      <c r="M82" s="12">
        <f t="shared" si="35"/>
        <v>22500</v>
      </c>
      <c r="N82" s="12">
        <f t="shared" si="35"/>
        <v>2986.2631893290859</v>
      </c>
      <c r="O82" s="12">
        <f t="shared" si="35"/>
        <v>50500</v>
      </c>
      <c r="P82" s="624">
        <f t="shared" si="35"/>
        <v>380492.25</v>
      </c>
      <c r="Q82" s="12">
        <f>SUM(Q83+Q84+Q85)</f>
        <v>50500</v>
      </c>
      <c r="R82" s="12">
        <f>SUM(R83+R84+R85)</f>
        <v>50500</v>
      </c>
      <c r="S82" s="48">
        <f>Q82/O82*100</f>
        <v>100</v>
      </c>
      <c r="T82" s="694">
        <f>R82/Q82*100</f>
        <v>100</v>
      </c>
    </row>
    <row r="83" spans="1:20" s="42" customFormat="1" x14ac:dyDescent="0.2">
      <c r="A83" s="504" t="s">
        <v>477</v>
      </c>
      <c r="B83" s="358"/>
      <c r="C83" s="358"/>
      <c r="D83" s="358"/>
      <c r="E83" s="358"/>
      <c r="F83" s="358"/>
      <c r="G83" s="358"/>
      <c r="H83" s="27">
        <v>6522</v>
      </c>
      <c r="I83" s="10" t="s">
        <v>141</v>
      </c>
      <c r="J83" s="11" t="e">
        <f>SUM(#REF!)</f>
        <v>#REF!</v>
      </c>
      <c r="K83" s="11" t="e">
        <f>SUM(#REF!)</f>
        <v>#REF!</v>
      </c>
      <c r="L83" s="11" t="e">
        <f>SUM(#REF!)</f>
        <v>#REF!</v>
      </c>
      <c r="M83" s="11">
        <v>7500</v>
      </c>
      <c r="N83" s="16">
        <f>M83/7.5345</f>
        <v>995.4210631096953</v>
      </c>
      <c r="O83" s="16">
        <v>500</v>
      </c>
      <c r="P83" s="644">
        <f>O83*7.5345</f>
        <v>3767.25</v>
      </c>
      <c r="Q83" s="16">
        <v>500</v>
      </c>
      <c r="R83" s="16">
        <v>500</v>
      </c>
      <c r="S83" s="48">
        <f>Q83/O83*100</f>
        <v>100</v>
      </c>
      <c r="T83" s="694">
        <f>R83/Q83*100</f>
        <v>100</v>
      </c>
    </row>
    <row r="84" spans="1:20" s="42" customFormat="1" x14ac:dyDescent="0.2">
      <c r="A84" s="504" t="s">
        <v>479</v>
      </c>
      <c r="B84" s="358"/>
      <c r="C84" s="358"/>
      <c r="D84" s="358"/>
      <c r="E84" s="358"/>
      <c r="F84" s="358"/>
      <c r="G84" s="358"/>
      <c r="H84" s="27">
        <v>6524</v>
      </c>
      <c r="I84" s="10" t="s">
        <v>35</v>
      </c>
      <c r="J84" s="11" t="e">
        <f>SUM(#REF!)</f>
        <v>#REF!</v>
      </c>
      <c r="K84" s="11" t="e">
        <f>SUM(#REF!)</f>
        <v>#REF!</v>
      </c>
      <c r="L84" s="11" t="e">
        <f>SUM(#REF!)</f>
        <v>#REF!</v>
      </c>
      <c r="M84" s="11">
        <v>15000</v>
      </c>
      <c r="N84" s="16">
        <f>M84/7.5345</f>
        <v>1990.8421262193906</v>
      </c>
      <c r="O84" s="16">
        <v>50000</v>
      </c>
      <c r="P84" s="644">
        <f>O84*7.5345</f>
        <v>376725</v>
      </c>
      <c r="Q84" s="16">
        <v>50000</v>
      </c>
      <c r="R84" s="16">
        <v>50000</v>
      </c>
      <c r="S84" s="48">
        <f>Q84/O84*100</f>
        <v>100</v>
      </c>
      <c r="T84" s="694">
        <f>R84/Q84*100</f>
        <v>100</v>
      </c>
    </row>
    <row r="85" spans="1:20" s="42" customFormat="1" x14ac:dyDescent="0.2">
      <c r="A85" s="504"/>
      <c r="B85" s="358"/>
      <c r="C85" s="358"/>
      <c r="D85" s="358"/>
      <c r="E85" s="358"/>
      <c r="F85" s="358"/>
      <c r="G85" s="358"/>
      <c r="H85" s="27">
        <v>6526</v>
      </c>
      <c r="I85" s="10" t="s">
        <v>36</v>
      </c>
      <c r="J85" s="11" t="e">
        <f>SUM(#REF!)</f>
        <v>#REF!</v>
      </c>
      <c r="K85" s="11" t="e">
        <f>SUM(#REF!)</f>
        <v>#REF!</v>
      </c>
      <c r="L85" s="11" t="e">
        <f>SUM(#REF!)</f>
        <v>#REF!</v>
      </c>
      <c r="M85" s="11">
        <v>0</v>
      </c>
      <c r="N85" s="16">
        <f>M85/7.5345</f>
        <v>0</v>
      </c>
      <c r="O85" s="16">
        <v>0</v>
      </c>
      <c r="P85" s="644">
        <f>O85*7.5345</f>
        <v>0</v>
      </c>
      <c r="Q85" s="16">
        <v>0</v>
      </c>
      <c r="R85" s="16">
        <v>0</v>
      </c>
      <c r="S85" s="48">
        <v>0</v>
      </c>
      <c r="T85" s="694">
        <v>0</v>
      </c>
    </row>
    <row r="86" spans="1:20" s="29" customFormat="1" x14ac:dyDescent="0.2">
      <c r="A86" s="504"/>
      <c r="B86" s="358"/>
      <c r="C86" s="358"/>
      <c r="D86" s="358"/>
      <c r="E86" s="358"/>
      <c r="F86" s="358"/>
      <c r="G86" s="358"/>
      <c r="H86" s="28">
        <v>653</v>
      </c>
      <c r="I86" s="9" t="s">
        <v>130</v>
      </c>
      <c r="J86" s="30">
        <f t="shared" ref="J86:R86" si="36">SUM(J87:J89)</f>
        <v>93473</v>
      </c>
      <c r="K86" s="30">
        <f t="shared" si="36"/>
        <v>450000</v>
      </c>
      <c r="L86" s="30">
        <f t="shared" si="36"/>
        <v>170000</v>
      </c>
      <c r="M86" s="30">
        <f t="shared" si="36"/>
        <v>1401000</v>
      </c>
      <c r="N86" s="30">
        <f t="shared" si="36"/>
        <v>185944.65458889111</v>
      </c>
      <c r="O86" s="12">
        <f t="shared" si="36"/>
        <v>220000</v>
      </c>
      <c r="P86" s="624">
        <f t="shared" si="36"/>
        <v>1657590</v>
      </c>
      <c r="Q86" s="12">
        <f t="shared" si="36"/>
        <v>245000</v>
      </c>
      <c r="R86" s="12">
        <f t="shared" si="36"/>
        <v>250000</v>
      </c>
      <c r="S86" s="48">
        <f t="shared" ref="S86:S106" si="37">Q86/O86*100</f>
        <v>111.36363636363636</v>
      </c>
      <c r="T86" s="694">
        <f t="shared" ref="T86:T117" si="38">R86/Q86*100</f>
        <v>102.04081632653062</v>
      </c>
    </row>
    <row r="87" spans="1:20" x14ac:dyDescent="0.2">
      <c r="A87" s="504" t="s">
        <v>711</v>
      </c>
      <c r="B87" s="358"/>
      <c r="C87" s="358"/>
      <c r="D87" s="358"/>
      <c r="E87" s="358"/>
      <c r="F87" s="358"/>
      <c r="G87" s="358"/>
      <c r="H87" s="27">
        <v>6531</v>
      </c>
      <c r="I87" s="10" t="s">
        <v>33</v>
      </c>
      <c r="J87" s="16">
        <v>70696</v>
      </c>
      <c r="K87" s="16">
        <v>300000</v>
      </c>
      <c r="L87" s="16">
        <v>150000</v>
      </c>
      <c r="M87" s="16">
        <v>600000</v>
      </c>
      <c r="N87" s="16">
        <f>M87/7.5345</f>
        <v>79633.685048775631</v>
      </c>
      <c r="O87" s="16">
        <v>80000</v>
      </c>
      <c r="P87" s="644">
        <f>O87*7.5345</f>
        <v>602760</v>
      </c>
      <c r="Q87" s="16">
        <v>100000</v>
      </c>
      <c r="R87" s="16">
        <v>100000</v>
      </c>
      <c r="S87" s="48">
        <f t="shared" si="37"/>
        <v>125</v>
      </c>
      <c r="T87" s="694">
        <f t="shared" si="38"/>
        <v>100</v>
      </c>
    </row>
    <row r="88" spans="1:20" x14ac:dyDescent="0.2">
      <c r="A88" s="504" t="s">
        <v>711</v>
      </c>
      <c r="B88" s="358"/>
      <c r="C88" s="358"/>
      <c r="D88" s="358"/>
      <c r="E88" s="358"/>
      <c r="F88" s="358"/>
      <c r="G88" s="358"/>
      <c r="H88" s="27">
        <v>6532</v>
      </c>
      <c r="I88" s="10" t="s">
        <v>34</v>
      </c>
      <c r="J88" s="16">
        <v>0</v>
      </c>
      <c r="K88" s="16">
        <v>100000</v>
      </c>
      <c r="L88" s="16">
        <v>0</v>
      </c>
      <c r="M88" s="16">
        <v>800000</v>
      </c>
      <c r="N88" s="16">
        <f>M88/7.5345</f>
        <v>106178.24673170084</v>
      </c>
      <c r="O88" s="16">
        <v>140000</v>
      </c>
      <c r="P88" s="644">
        <f>O88*7.5345</f>
        <v>1054830</v>
      </c>
      <c r="Q88" s="16">
        <v>145000</v>
      </c>
      <c r="R88" s="16">
        <v>150000</v>
      </c>
      <c r="S88" s="48">
        <f t="shared" si="37"/>
        <v>103.57142857142858</v>
      </c>
      <c r="T88" s="694">
        <f t="shared" si="38"/>
        <v>103.44827586206897</v>
      </c>
    </row>
    <row r="89" spans="1:20" x14ac:dyDescent="0.2">
      <c r="A89" s="504" t="s">
        <v>479</v>
      </c>
      <c r="B89" s="358"/>
      <c r="C89" s="358"/>
      <c r="D89" s="358"/>
      <c r="E89" s="358"/>
      <c r="F89" s="358"/>
      <c r="G89" s="358"/>
      <c r="H89" s="27">
        <v>6533</v>
      </c>
      <c r="I89" s="10" t="s">
        <v>133</v>
      </c>
      <c r="J89" s="16">
        <v>22777</v>
      </c>
      <c r="K89" s="16">
        <v>50000</v>
      </c>
      <c r="L89" s="16">
        <v>20000</v>
      </c>
      <c r="M89" s="16">
        <v>1000</v>
      </c>
      <c r="N89" s="16">
        <f>M89/7.5345</f>
        <v>132.72280841462606</v>
      </c>
      <c r="O89" s="16">
        <v>0</v>
      </c>
      <c r="P89" s="644">
        <f>O89*7.5345</f>
        <v>0</v>
      </c>
      <c r="Q89" s="16">
        <v>0</v>
      </c>
      <c r="R89" s="16">
        <v>0</v>
      </c>
      <c r="S89" s="48" t="e">
        <f t="shared" si="37"/>
        <v>#DIV/0!</v>
      </c>
      <c r="T89" s="694" t="e">
        <f t="shared" si="38"/>
        <v>#DIV/0!</v>
      </c>
    </row>
    <row r="90" spans="1:20" s="93" customFormat="1" x14ac:dyDescent="0.2">
      <c r="A90" s="505"/>
      <c r="B90" s="368"/>
      <c r="C90" s="368"/>
      <c r="D90" s="368"/>
      <c r="E90" s="368"/>
      <c r="F90" s="368"/>
      <c r="G90" s="368"/>
      <c r="H90" s="95">
        <v>66</v>
      </c>
      <c r="I90" s="96" t="s">
        <v>434</v>
      </c>
      <c r="J90" s="97">
        <f>SUM(J91)</f>
        <v>4212</v>
      </c>
      <c r="K90" s="97"/>
      <c r="L90" s="97"/>
      <c r="M90" s="87">
        <f t="shared" ref="M90:R90" si="39">SUM(M91)</f>
        <v>75000</v>
      </c>
      <c r="N90" s="87">
        <f t="shared" si="39"/>
        <v>9954.2106310969539</v>
      </c>
      <c r="O90" s="87">
        <f t="shared" si="39"/>
        <v>3000</v>
      </c>
      <c r="P90" s="645">
        <f t="shared" si="39"/>
        <v>22603.5</v>
      </c>
      <c r="Q90" s="87">
        <f t="shared" si="39"/>
        <v>3000</v>
      </c>
      <c r="R90" s="87">
        <f t="shared" si="39"/>
        <v>3000</v>
      </c>
      <c r="S90" s="81">
        <f t="shared" si="37"/>
        <v>100</v>
      </c>
      <c r="T90" s="693">
        <f t="shared" si="38"/>
        <v>100</v>
      </c>
    </row>
    <row r="91" spans="1:20" x14ac:dyDescent="0.2">
      <c r="A91" s="504"/>
      <c r="B91" s="358"/>
      <c r="C91" s="358"/>
      <c r="D91" s="358"/>
      <c r="E91" s="358"/>
      <c r="F91" s="358"/>
      <c r="G91" s="358"/>
      <c r="H91" s="28">
        <v>661</v>
      </c>
      <c r="I91" s="9" t="s">
        <v>434</v>
      </c>
      <c r="J91" s="30">
        <v>4212</v>
      </c>
      <c r="K91" s="30">
        <v>0</v>
      </c>
      <c r="L91" s="30">
        <v>0</v>
      </c>
      <c r="M91" s="30">
        <f t="shared" ref="M91:R91" si="40">M92</f>
        <v>75000</v>
      </c>
      <c r="N91" s="30">
        <f t="shared" si="40"/>
        <v>9954.2106310969539</v>
      </c>
      <c r="O91" s="12">
        <f t="shared" si="40"/>
        <v>3000</v>
      </c>
      <c r="P91" s="624">
        <f t="shared" si="40"/>
        <v>22603.5</v>
      </c>
      <c r="Q91" s="12">
        <f t="shared" si="40"/>
        <v>3000</v>
      </c>
      <c r="R91" s="12">
        <f t="shared" si="40"/>
        <v>3000</v>
      </c>
      <c r="S91" s="48">
        <f t="shared" si="37"/>
        <v>100</v>
      </c>
      <c r="T91" s="694">
        <f t="shared" si="38"/>
        <v>100</v>
      </c>
    </row>
    <row r="92" spans="1:20" x14ac:dyDescent="0.2">
      <c r="A92" s="507" t="s">
        <v>475</v>
      </c>
      <c r="B92" s="373"/>
      <c r="C92" s="373"/>
      <c r="D92" s="373"/>
      <c r="E92" s="373"/>
      <c r="F92" s="373"/>
      <c r="G92" s="373"/>
      <c r="H92" s="374">
        <v>6615</v>
      </c>
      <c r="I92" s="375" t="s">
        <v>555</v>
      </c>
      <c r="J92" s="376"/>
      <c r="K92" s="376"/>
      <c r="L92" s="376"/>
      <c r="M92" s="376">
        <v>75000</v>
      </c>
      <c r="N92" s="16">
        <f>M92/7.5345</f>
        <v>9954.2106310969539</v>
      </c>
      <c r="O92" s="376">
        <v>3000</v>
      </c>
      <c r="P92" s="644">
        <f>O92*7.5345</f>
        <v>22603.5</v>
      </c>
      <c r="Q92" s="376">
        <v>3000</v>
      </c>
      <c r="R92" s="376">
        <v>3000</v>
      </c>
      <c r="S92" s="48">
        <f t="shared" si="37"/>
        <v>100</v>
      </c>
      <c r="T92" s="694">
        <f t="shared" si="38"/>
        <v>100</v>
      </c>
    </row>
    <row r="93" spans="1:20" s="93" customFormat="1" ht="12" customHeight="1" x14ac:dyDescent="0.2">
      <c r="A93" s="505"/>
      <c r="B93" s="368"/>
      <c r="C93" s="368"/>
      <c r="D93" s="368"/>
      <c r="E93" s="368"/>
      <c r="F93" s="368"/>
      <c r="G93" s="368"/>
      <c r="H93" s="95">
        <v>68</v>
      </c>
      <c r="I93" s="96" t="s">
        <v>377</v>
      </c>
      <c r="J93" s="97">
        <f>SUM(J94)</f>
        <v>4212</v>
      </c>
      <c r="K93" s="97"/>
      <c r="L93" s="97"/>
      <c r="M93" s="87">
        <f t="shared" ref="M93:R93" si="41">SUM(M94)</f>
        <v>7500</v>
      </c>
      <c r="N93" s="87">
        <f t="shared" si="41"/>
        <v>995.4210631096953</v>
      </c>
      <c r="O93" s="87">
        <f t="shared" si="41"/>
        <v>1000</v>
      </c>
      <c r="P93" s="645">
        <f t="shared" si="41"/>
        <v>7534.5</v>
      </c>
      <c r="Q93" s="87">
        <f t="shared" si="41"/>
        <v>1000</v>
      </c>
      <c r="R93" s="87">
        <f t="shared" si="41"/>
        <v>1000</v>
      </c>
      <c r="S93" s="81">
        <f t="shared" si="37"/>
        <v>100</v>
      </c>
      <c r="T93" s="693">
        <f t="shared" si="38"/>
        <v>100</v>
      </c>
    </row>
    <row r="94" spans="1:20" x14ac:dyDescent="0.2">
      <c r="A94" s="504"/>
      <c r="B94" s="358"/>
      <c r="C94" s="358"/>
      <c r="D94" s="358"/>
      <c r="E94" s="358"/>
      <c r="F94" s="358"/>
      <c r="G94" s="358"/>
      <c r="H94" s="28">
        <v>681</v>
      </c>
      <c r="I94" s="9" t="s">
        <v>378</v>
      </c>
      <c r="J94" s="30">
        <v>4212</v>
      </c>
      <c r="K94" s="30">
        <v>0</v>
      </c>
      <c r="L94" s="30">
        <v>0</v>
      </c>
      <c r="M94" s="30">
        <f t="shared" ref="M94:R94" si="42">M95</f>
        <v>7500</v>
      </c>
      <c r="N94" s="30">
        <f t="shared" si="42"/>
        <v>995.4210631096953</v>
      </c>
      <c r="O94" s="12">
        <f t="shared" si="42"/>
        <v>1000</v>
      </c>
      <c r="P94" s="624">
        <f t="shared" si="42"/>
        <v>7534.5</v>
      </c>
      <c r="Q94" s="12">
        <f t="shared" si="42"/>
        <v>1000</v>
      </c>
      <c r="R94" s="12">
        <f t="shared" si="42"/>
        <v>1000</v>
      </c>
      <c r="S94" s="48">
        <f t="shared" si="37"/>
        <v>100</v>
      </c>
      <c r="T94" s="694">
        <f t="shared" si="38"/>
        <v>100</v>
      </c>
    </row>
    <row r="95" spans="1:20" x14ac:dyDescent="0.2">
      <c r="A95" s="507" t="s">
        <v>477</v>
      </c>
      <c r="B95" s="373"/>
      <c r="C95" s="373"/>
      <c r="D95" s="373"/>
      <c r="E95" s="373"/>
      <c r="F95" s="373"/>
      <c r="G95" s="373"/>
      <c r="H95" s="374">
        <v>6819</v>
      </c>
      <c r="I95" s="375" t="s">
        <v>379</v>
      </c>
      <c r="J95" s="376"/>
      <c r="K95" s="376"/>
      <c r="L95" s="376"/>
      <c r="M95" s="376">
        <v>7500</v>
      </c>
      <c r="N95" s="16">
        <f>M95/7.5345</f>
        <v>995.4210631096953</v>
      </c>
      <c r="O95" s="376">
        <v>1000</v>
      </c>
      <c r="P95" s="644">
        <f>O95*7.5345</f>
        <v>7534.5</v>
      </c>
      <c r="Q95" s="376">
        <v>1000</v>
      </c>
      <c r="R95" s="376">
        <v>1000</v>
      </c>
      <c r="S95" s="52">
        <f t="shared" si="37"/>
        <v>100</v>
      </c>
      <c r="T95" s="694">
        <f t="shared" si="38"/>
        <v>100</v>
      </c>
    </row>
    <row r="96" spans="1:20" s="63" customFormat="1" ht="13.5" thickBot="1" x14ac:dyDescent="0.25">
      <c r="A96" s="508"/>
      <c r="B96" s="369"/>
      <c r="C96" s="369"/>
      <c r="D96" s="369"/>
      <c r="E96" s="369"/>
      <c r="F96" s="369"/>
      <c r="G96" s="369"/>
      <c r="H96" s="60">
        <v>7</v>
      </c>
      <c r="I96" s="61" t="s">
        <v>2</v>
      </c>
      <c r="J96" s="62" t="e">
        <f t="shared" ref="J96:R96" si="43">SUM(J97)</f>
        <v>#REF!</v>
      </c>
      <c r="K96" s="62" t="e">
        <f t="shared" si="43"/>
        <v>#REF!</v>
      </c>
      <c r="L96" s="62" t="e">
        <f t="shared" si="43"/>
        <v>#REF!</v>
      </c>
      <c r="M96" s="62">
        <f t="shared" si="43"/>
        <v>100000</v>
      </c>
      <c r="N96" s="62">
        <f t="shared" si="43"/>
        <v>13272.280841462605</v>
      </c>
      <c r="O96" s="62">
        <f t="shared" si="43"/>
        <v>0</v>
      </c>
      <c r="P96" s="647">
        <f t="shared" si="43"/>
        <v>0</v>
      </c>
      <c r="Q96" s="62">
        <f t="shared" si="43"/>
        <v>0</v>
      </c>
      <c r="R96" s="62">
        <f t="shared" si="43"/>
        <v>0</v>
      </c>
      <c r="S96" s="705" t="e">
        <f t="shared" si="37"/>
        <v>#DIV/0!</v>
      </c>
      <c r="T96" s="695" t="e">
        <f t="shared" si="38"/>
        <v>#DIV/0!</v>
      </c>
    </row>
    <row r="97" spans="1:20" s="84" customFormat="1" x14ac:dyDescent="0.2">
      <c r="A97" s="503"/>
      <c r="B97" s="367"/>
      <c r="C97" s="367"/>
      <c r="D97" s="367"/>
      <c r="E97" s="367"/>
      <c r="F97" s="367"/>
      <c r="G97" s="367"/>
      <c r="H97" s="78">
        <v>71</v>
      </c>
      <c r="I97" s="88" t="s">
        <v>39</v>
      </c>
      <c r="J97" s="80" t="e">
        <f>SUM(J98+#REF!)</f>
        <v>#REF!</v>
      </c>
      <c r="K97" s="80" t="e">
        <f>SUM(K98+#REF!)</f>
        <v>#REF!</v>
      </c>
      <c r="L97" s="80" t="e">
        <f>SUM(L98+#REF!)</f>
        <v>#REF!</v>
      </c>
      <c r="M97" s="80">
        <f t="shared" ref="M97:R97" si="44">M98</f>
        <v>100000</v>
      </c>
      <c r="N97" s="80">
        <f t="shared" si="44"/>
        <v>13272.280841462605</v>
      </c>
      <c r="O97" s="80">
        <f t="shared" si="44"/>
        <v>0</v>
      </c>
      <c r="P97" s="643">
        <f t="shared" si="44"/>
        <v>0</v>
      </c>
      <c r="Q97" s="80">
        <f t="shared" si="44"/>
        <v>0</v>
      </c>
      <c r="R97" s="80">
        <f t="shared" si="44"/>
        <v>0</v>
      </c>
      <c r="S97" s="81" t="e">
        <f t="shared" si="37"/>
        <v>#DIV/0!</v>
      </c>
      <c r="T97" s="693" t="e">
        <f t="shared" si="38"/>
        <v>#DIV/0!</v>
      </c>
    </row>
    <row r="98" spans="1:20" s="1" customFormat="1" x14ac:dyDescent="0.2">
      <c r="A98" s="504" t="s">
        <v>476</v>
      </c>
      <c r="B98" s="358"/>
      <c r="C98" s="358" t="s">
        <v>362</v>
      </c>
      <c r="D98" s="358"/>
      <c r="E98" s="358"/>
      <c r="F98" s="358"/>
      <c r="G98" s="358"/>
      <c r="H98" s="24">
        <v>711</v>
      </c>
      <c r="I98" s="8" t="s">
        <v>380</v>
      </c>
      <c r="J98" s="12" t="e">
        <f>SUM(#REF!)</f>
        <v>#REF!</v>
      </c>
      <c r="K98" s="12" t="e">
        <f>SUM(#REF!)</f>
        <v>#REF!</v>
      </c>
      <c r="L98" s="12" t="e">
        <f>SUM(#REF!)</f>
        <v>#REF!</v>
      </c>
      <c r="M98" s="12">
        <v>100000</v>
      </c>
      <c r="N98" s="16">
        <f>M98/7.5345</f>
        <v>13272.280841462605</v>
      </c>
      <c r="O98" s="12">
        <v>0</v>
      </c>
      <c r="P98" s="644">
        <f>O98*7.5345</f>
        <v>0</v>
      </c>
      <c r="Q98" s="12">
        <v>0</v>
      </c>
      <c r="R98" s="12">
        <v>0</v>
      </c>
      <c r="S98" s="52" t="e">
        <f t="shared" si="37"/>
        <v>#DIV/0!</v>
      </c>
      <c r="T98" s="694" t="e">
        <f t="shared" si="38"/>
        <v>#DIV/0!</v>
      </c>
    </row>
    <row r="99" spans="1:20" s="63" customFormat="1" ht="13.5" thickBot="1" x14ac:dyDescent="0.25">
      <c r="A99" s="508"/>
      <c r="B99" s="369"/>
      <c r="C99" s="369"/>
      <c r="D99" s="369"/>
      <c r="E99" s="369"/>
      <c r="F99" s="369"/>
      <c r="G99" s="369"/>
      <c r="H99" s="60">
        <v>3</v>
      </c>
      <c r="I99" s="61" t="s">
        <v>3</v>
      </c>
      <c r="J99" s="62" t="e">
        <f>SUM(J100+J108+J138+J145+J149+J153+J157)</f>
        <v>#REF!</v>
      </c>
      <c r="K99" s="62" t="e">
        <f>SUM(K100+K108+K138+K145+K149+K153+K157)</f>
        <v>#REF!</v>
      </c>
      <c r="L99" s="62" t="e">
        <f>SUM(L100+L108+L138+L145+L149+L153+L157)</f>
        <v>#REF!</v>
      </c>
      <c r="M99" s="62" t="e">
        <f t="shared" ref="M99:R99" si="45">SUM(M100+M108+M138+M145+M149+M153+M157)</f>
        <v>#REF!</v>
      </c>
      <c r="N99" s="62" t="e">
        <f t="shared" si="45"/>
        <v>#REF!</v>
      </c>
      <c r="O99" s="62">
        <f>SUM(O100+O108+O138+O145+O149+O153+O157)</f>
        <v>1988450</v>
      </c>
      <c r="P99" s="647" t="e">
        <f t="shared" si="45"/>
        <v>#REF!</v>
      </c>
      <c r="Q99" s="62">
        <f t="shared" si="45"/>
        <v>1795750</v>
      </c>
      <c r="R99" s="62">
        <f t="shared" si="45"/>
        <v>1875050</v>
      </c>
      <c r="S99" s="705">
        <f t="shared" si="37"/>
        <v>90.309034675249563</v>
      </c>
      <c r="T99" s="695">
        <f t="shared" si="38"/>
        <v>104.41598218014757</v>
      </c>
    </row>
    <row r="100" spans="1:20" s="84" customFormat="1" x14ac:dyDescent="0.2">
      <c r="A100" s="503"/>
      <c r="B100" s="367"/>
      <c r="C100" s="367"/>
      <c r="D100" s="367"/>
      <c r="E100" s="367"/>
      <c r="F100" s="367"/>
      <c r="G100" s="367"/>
      <c r="H100" s="78">
        <v>31</v>
      </c>
      <c r="I100" s="79" t="s">
        <v>41</v>
      </c>
      <c r="J100" s="80">
        <f t="shared" ref="J100:R100" si="46">SUM(J101+J103+J105)</f>
        <v>454690</v>
      </c>
      <c r="K100" s="80">
        <f t="shared" si="46"/>
        <v>613000</v>
      </c>
      <c r="L100" s="80">
        <f t="shared" si="46"/>
        <v>498000</v>
      </c>
      <c r="M100" s="80">
        <f t="shared" si="46"/>
        <v>1146300</v>
      </c>
      <c r="N100" s="80">
        <f t="shared" si="46"/>
        <v>152140.15528568585</v>
      </c>
      <c r="O100" s="80">
        <f t="shared" si="46"/>
        <v>397500</v>
      </c>
      <c r="P100" s="80" t="e">
        <f t="shared" si="46"/>
        <v>#REF!</v>
      </c>
      <c r="Q100" s="80">
        <f t="shared" si="46"/>
        <v>397500</v>
      </c>
      <c r="R100" s="80">
        <f t="shared" si="46"/>
        <v>397500</v>
      </c>
      <c r="S100" s="81">
        <f t="shared" si="37"/>
        <v>100</v>
      </c>
      <c r="T100" s="693">
        <f t="shared" si="38"/>
        <v>100</v>
      </c>
    </row>
    <row r="101" spans="1:20" s="1" customFormat="1" x14ac:dyDescent="0.2">
      <c r="A101" s="504"/>
      <c r="B101" s="358"/>
      <c r="C101" s="358" t="s">
        <v>362</v>
      </c>
      <c r="D101" s="358"/>
      <c r="E101" s="358"/>
      <c r="F101" s="358"/>
      <c r="G101" s="358"/>
      <c r="H101" s="24">
        <v>311</v>
      </c>
      <c r="I101" s="8" t="s">
        <v>42</v>
      </c>
      <c r="J101" s="12">
        <f>SUM(J102)</f>
        <v>382608</v>
      </c>
      <c r="K101" s="12">
        <f>SUM(K102)</f>
        <v>500000</v>
      </c>
      <c r="L101" s="12">
        <f>SUM(L102)</f>
        <v>400000</v>
      </c>
      <c r="M101" s="12">
        <f t="shared" ref="M101:R101" si="47">M102</f>
        <v>923300</v>
      </c>
      <c r="N101" s="12">
        <f t="shared" si="47"/>
        <v>122542.96900922424</v>
      </c>
      <c r="O101" s="12">
        <f t="shared" si="47"/>
        <v>321000</v>
      </c>
      <c r="P101" s="624" t="e">
        <f t="shared" si="47"/>
        <v>#REF!</v>
      </c>
      <c r="Q101" s="12">
        <f t="shared" si="47"/>
        <v>321000</v>
      </c>
      <c r="R101" s="12">
        <f t="shared" si="47"/>
        <v>321000</v>
      </c>
      <c r="S101" s="48">
        <f t="shared" si="37"/>
        <v>100</v>
      </c>
      <c r="T101" s="694">
        <f t="shared" si="38"/>
        <v>100</v>
      </c>
    </row>
    <row r="102" spans="1:20" x14ac:dyDescent="0.2">
      <c r="A102" s="504" t="s">
        <v>477</v>
      </c>
      <c r="B102" s="358"/>
      <c r="C102" s="358"/>
      <c r="D102" s="358"/>
      <c r="E102" s="358"/>
      <c r="F102" s="358"/>
      <c r="G102" s="358"/>
      <c r="H102" s="25">
        <v>3111</v>
      </c>
      <c r="I102" s="15" t="s">
        <v>134</v>
      </c>
      <c r="J102" s="16">
        <v>382608</v>
      </c>
      <c r="K102" s="16">
        <v>500000</v>
      </c>
      <c r="L102" s="16">
        <v>400000</v>
      </c>
      <c r="M102" s="16">
        <f>Posebni!F15+Posebni!F624+Posebni!F656</f>
        <v>923300</v>
      </c>
      <c r="N102" s="16">
        <f>Posebni!G15+Posebni!G624+Posebni!G656</f>
        <v>122542.96900922424</v>
      </c>
      <c r="O102" s="16">
        <f>Posebni!I15+Posebni!I624+Posebni!I625+Posebni!I656+Posebni!I657</f>
        <v>321000</v>
      </c>
      <c r="P102" s="16" t="e">
        <f>Posebni!#REF!+Posebni!#REF!+Posebni!#REF!+Posebni!#REF!+Posebni!#REF!</f>
        <v>#REF!</v>
      </c>
      <c r="Q102" s="16">
        <f>Posebni!J15+Posebni!J624+Posebni!J625+Posebni!J656+Posebni!J657</f>
        <v>321000</v>
      </c>
      <c r="R102" s="16">
        <f>Posebni!K15+Posebni!K624+Posebni!K625+Posebni!K656+Posebni!K657</f>
        <v>321000</v>
      </c>
      <c r="S102" s="48">
        <f t="shared" si="37"/>
        <v>100</v>
      </c>
      <c r="T102" s="694">
        <f t="shared" si="38"/>
        <v>100</v>
      </c>
    </row>
    <row r="103" spans="1:20" s="1" customFormat="1" x14ac:dyDescent="0.2">
      <c r="A103" s="504"/>
      <c r="B103" s="358"/>
      <c r="C103" s="358"/>
      <c r="D103" s="358"/>
      <c r="E103" s="358"/>
      <c r="F103" s="358"/>
      <c r="G103" s="358"/>
      <c r="H103" s="24">
        <v>312</v>
      </c>
      <c r="I103" s="8" t="s">
        <v>43</v>
      </c>
      <c r="J103" s="12">
        <f t="shared" ref="J103:R103" si="48">SUM(J104)</f>
        <v>13926</v>
      </c>
      <c r="K103" s="12">
        <f t="shared" si="48"/>
        <v>25000</v>
      </c>
      <c r="L103" s="12">
        <f t="shared" si="48"/>
        <v>25000</v>
      </c>
      <c r="M103" s="12">
        <f t="shared" si="48"/>
        <v>70000</v>
      </c>
      <c r="N103" s="12">
        <f t="shared" si="48"/>
        <v>9290.596589023824</v>
      </c>
      <c r="O103" s="12">
        <f t="shared" si="48"/>
        <v>25000</v>
      </c>
      <c r="P103" s="624" t="e">
        <f t="shared" si="48"/>
        <v>#REF!</v>
      </c>
      <c r="Q103" s="12">
        <f t="shared" si="48"/>
        <v>25000</v>
      </c>
      <c r="R103" s="12">
        <f t="shared" si="48"/>
        <v>25000</v>
      </c>
      <c r="S103" s="48">
        <f t="shared" si="37"/>
        <v>100</v>
      </c>
      <c r="T103" s="694">
        <f t="shared" si="38"/>
        <v>100</v>
      </c>
    </row>
    <row r="104" spans="1:20" x14ac:dyDescent="0.2">
      <c r="A104" s="504" t="s">
        <v>477</v>
      </c>
      <c r="B104" s="358"/>
      <c r="C104" s="358"/>
      <c r="D104" s="358"/>
      <c r="E104" s="358"/>
      <c r="F104" s="358"/>
      <c r="G104" s="358"/>
      <c r="H104" s="25">
        <v>3121</v>
      </c>
      <c r="I104" s="15" t="s">
        <v>43</v>
      </c>
      <c r="J104" s="16">
        <v>13926</v>
      </c>
      <c r="K104" s="16">
        <v>25000</v>
      </c>
      <c r="L104" s="16">
        <v>25000</v>
      </c>
      <c r="M104" s="16">
        <f>Posebni!F17+Posebni!F627</f>
        <v>70000</v>
      </c>
      <c r="N104" s="16">
        <f>Posebni!G17+Posebni!G627</f>
        <v>9290.596589023824</v>
      </c>
      <c r="O104" s="16">
        <f>Posebni!I17+Posebni!I627+Posebni!I628</f>
        <v>25000</v>
      </c>
      <c r="P104" s="16" t="e">
        <f>Posebni!#REF!+Posebni!#REF!+Posebni!#REF!</f>
        <v>#REF!</v>
      </c>
      <c r="Q104" s="16">
        <f>Posebni!J17+Posebni!J627+Posebni!J628</f>
        <v>25000</v>
      </c>
      <c r="R104" s="16">
        <f>Posebni!K17+Posebni!K627+Posebni!K628</f>
        <v>25000</v>
      </c>
      <c r="S104" s="48">
        <f t="shared" si="37"/>
        <v>100</v>
      </c>
      <c r="T104" s="694">
        <f t="shared" si="38"/>
        <v>100</v>
      </c>
    </row>
    <row r="105" spans="1:20" s="1" customFormat="1" x14ac:dyDescent="0.2">
      <c r="A105" s="504"/>
      <c r="B105" s="358"/>
      <c r="C105" s="358" t="s">
        <v>362</v>
      </c>
      <c r="D105" s="358"/>
      <c r="E105" s="358"/>
      <c r="F105" s="358"/>
      <c r="G105" s="358"/>
      <c r="H105" s="24">
        <v>313</v>
      </c>
      <c r="I105" s="8" t="s">
        <v>44</v>
      </c>
      <c r="J105" s="12">
        <f t="shared" ref="J105:P105" si="49">SUM(J106:J107)</f>
        <v>58156</v>
      </c>
      <c r="K105" s="12">
        <f t="shared" si="49"/>
        <v>88000</v>
      </c>
      <c r="L105" s="12">
        <f t="shared" si="49"/>
        <v>73000</v>
      </c>
      <c r="M105" s="12">
        <f t="shared" si="49"/>
        <v>153000</v>
      </c>
      <c r="N105" s="12">
        <f t="shared" si="49"/>
        <v>20306.589687437783</v>
      </c>
      <c r="O105" s="12">
        <f t="shared" si="49"/>
        <v>51500</v>
      </c>
      <c r="P105" s="624" t="e">
        <f t="shared" si="49"/>
        <v>#REF!</v>
      </c>
      <c r="Q105" s="12">
        <f>SUM(Q106:Q107)</f>
        <v>51500</v>
      </c>
      <c r="R105" s="12">
        <f>SUM(R106:R107)</f>
        <v>51500</v>
      </c>
      <c r="S105" s="48">
        <f t="shared" si="37"/>
        <v>100</v>
      </c>
      <c r="T105" s="694">
        <f t="shared" si="38"/>
        <v>100</v>
      </c>
    </row>
    <row r="106" spans="1:20" x14ac:dyDescent="0.2">
      <c r="A106" s="504" t="s">
        <v>477</v>
      </c>
      <c r="B106" s="358"/>
      <c r="C106" s="358"/>
      <c r="D106" s="358"/>
      <c r="E106" s="358"/>
      <c r="F106" s="358"/>
      <c r="G106" s="358"/>
      <c r="H106" s="25">
        <v>3132</v>
      </c>
      <c r="I106" s="15" t="s">
        <v>45</v>
      </c>
      <c r="J106" s="16">
        <v>51652</v>
      </c>
      <c r="K106" s="16">
        <v>75000</v>
      </c>
      <c r="L106" s="16">
        <v>60000</v>
      </c>
      <c r="M106" s="16">
        <f>Posebni!F19+Posebni!F630+Posebni!F661</f>
        <v>153000</v>
      </c>
      <c r="N106" s="16">
        <f>Posebni!G19+Posebni!G630+Posebni!G661</f>
        <v>20306.589687437783</v>
      </c>
      <c r="O106" s="16">
        <f>Posebni!I19+Posebni!I630+Posebni!I631+Posebni!I661+Posebni!I662</f>
        <v>51500</v>
      </c>
      <c r="P106" s="16" t="e">
        <f>Posebni!#REF!+Posebni!#REF!+Posebni!#REF!+Posebni!#REF!+Posebni!#REF!</f>
        <v>#REF!</v>
      </c>
      <c r="Q106" s="16">
        <f>Posebni!J19+Posebni!J630+Posebni!J631+Posebni!J661+Posebni!J662</f>
        <v>51500</v>
      </c>
      <c r="R106" s="16">
        <f>Posebni!K19+Posebni!K630+Posebni!K631+Posebni!K661+Posebni!K662</f>
        <v>51500</v>
      </c>
      <c r="S106" s="48">
        <f t="shared" si="37"/>
        <v>100</v>
      </c>
      <c r="T106" s="694">
        <f t="shared" si="38"/>
        <v>100</v>
      </c>
    </row>
    <row r="107" spans="1:20" x14ac:dyDescent="0.2">
      <c r="A107" s="504" t="s">
        <v>477</v>
      </c>
      <c r="B107" s="358"/>
      <c r="C107" s="358"/>
      <c r="D107" s="358"/>
      <c r="E107" s="358"/>
      <c r="F107" s="358"/>
      <c r="G107" s="358"/>
      <c r="H107" s="25">
        <v>3133</v>
      </c>
      <c r="I107" s="15" t="s">
        <v>46</v>
      </c>
      <c r="J107" s="16">
        <v>6504</v>
      </c>
      <c r="K107" s="16">
        <v>13000</v>
      </c>
      <c r="L107" s="16">
        <v>13000</v>
      </c>
      <c r="M107" s="16"/>
      <c r="N107" s="16"/>
      <c r="O107" s="16">
        <v>0</v>
      </c>
      <c r="P107" s="16">
        <v>0</v>
      </c>
      <c r="Q107" s="16">
        <v>0</v>
      </c>
      <c r="R107" s="16">
        <v>0</v>
      </c>
      <c r="S107" s="48">
        <f>K107/J107*100</f>
        <v>199.87699876998769</v>
      </c>
      <c r="T107" s="694" t="e">
        <f t="shared" si="38"/>
        <v>#DIV/0!</v>
      </c>
    </row>
    <row r="108" spans="1:20" s="84" customFormat="1" x14ac:dyDescent="0.2">
      <c r="A108" s="505"/>
      <c r="B108" s="368"/>
      <c r="C108" s="368"/>
      <c r="D108" s="368"/>
      <c r="E108" s="368"/>
      <c r="F108" s="368"/>
      <c r="G108" s="368"/>
      <c r="H108" s="85">
        <v>32</v>
      </c>
      <c r="I108" s="86" t="s">
        <v>47</v>
      </c>
      <c r="J108" s="87">
        <f t="shared" ref="J108:R108" si="50">SUM(J109+J114+J120+J129+J131)</f>
        <v>1518759</v>
      </c>
      <c r="K108" s="87">
        <f t="shared" si="50"/>
        <v>1445000</v>
      </c>
      <c r="L108" s="87">
        <f t="shared" si="50"/>
        <v>1675000</v>
      </c>
      <c r="M108" s="87" t="e">
        <f t="shared" si="50"/>
        <v>#REF!</v>
      </c>
      <c r="N108" s="87" t="e">
        <f t="shared" si="50"/>
        <v>#REF!</v>
      </c>
      <c r="O108" s="87">
        <f t="shared" si="50"/>
        <v>784150</v>
      </c>
      <c r="P108" s="87" t="e">
        <f t="shared" si="50"/>
        <v>#REF!</v>
      </c>
      <c r="Q108" s="87">
        <f t="shared" si="50"/>
        <v>605250</v>
      </c>
      <c r="R108" s="87">
        <f t="shared" si="50"/>
        <v>683050</v>
      </c>
      <c r="S108" s="81">
        <f t="shared" ref="S108:S138" si="51">Q108/O108*100</f>
        <v>77.185487470509472</v>
      </c>
      <c r="T108" s="693">
        <f t="shared" si="38"/>
        <v>112.85419248244528</v>
      </c>
    </row>
    <row r="109" spans="1:20" s="1" customFormat="1" x14ac:dyDescent="0.2">
      <c r="A109" s="504"/>
      <c r="B109" s="358"/>
      <c r="C109" s="358"/>
      <c r="D109" s="358"/>
      <c r="E109" s="358"/>
      <c r="F109" s="358"/>
      <c r="G109" s="358"/>
      <c r="H109" s="24">
        <v>321</v>
      </c>
      <c r="I109" s="8" t="s">
        <v>48</v>
      </c>
      <c r="J109" s="12">
        <f>SUM(J110:J113)</f>
        <v>59873</v>
      </c>
      <c r="K109" s="12">
        <f>SUM(K110:K113)</f>
        <v>81000</v>
      </c>
      <c r="L109" s="12">
        <f>SUM(L110:L113)</f>
        <v>81000</v>
      </c>
      <c r="M109" s="12" t="e">
        <f t="shared" ref="M109:R109" si="52">M110+M111+M112+M113</f>
        <v>#REF!</v>
      </c>
      <c r="N109" s="12" t="e">
        <f t="shared" si="52"/>
        <v>#REF!</v>
      </c>
      <c r="O109" s="12">
        <f t="shared" si="52"/>
        <v>18500</v>
      </c>
      <c r="P109" s="12" t="e">
        <f t="shared" si="52"/>
        <v>#REF!</v>
      </c>
      <c r="Q109" s="12">
        <f t="shared" si="52"/>
        <v>18500</v>
      </c>
      <c r="R109" s="12">
        <f t="shared" si="52"/>
        <v>18500</v>
      </c>
      <c r="S109" s="48">
        <f t="shared" si="51"/>
        <v>100</v>
      </c>
      <c r="T109" s="694">
        <f t="shared" si="38"/>
        <v>100</v>
      </c>
    </row>
    <row r="110" spans="1:20" x14ac:dyDescent="0.2">
      <c r="A110" s="504" t="s">
        <v>477</v>
      </c>
      <c r="B110" s="358"/>
      <c r="C110" s="358"/>
      <c r="D110" s="358"/>
      <c r="E110" s="358"/>
      <c r="F110" s="358"/>
      <c r="G110" s="358"/>
      <c r="H110" s="25">
        <v>3211</v>
      </c>
      <c r="I110" s="15" t="s">
        <v>49</v>
      </c>
      <c r="J110" s="16">
        <v>23045</v>
      </c>
      <c r="K110" s="16">
        <v>30000</v>
      </c>
      <c r="L110" s="16">
        <v>30000</v>
      </c>
      <c r="M110" s="16">
        <f>Posebni!F22</f>
        <v>10000</v>
      </c>
      <c r="N110" s="16">
        <f>Posebni!G22</f>
        <v>1327.2280841462605</v>
      </c>
      <c r="O110" s="16">
        <f>Posebni!I22</f>
        <v>5000</v>
      </c>
      <c r="P110" s="16" t="e">
        <f>Posebni!#REF!</f>
        <v>#REF!</v>
      </c>
      <c r="Q110" s="16">
        <f>Posebni!J22</f>
        <v>5000</v>
      </c>
      <c r="R110" s="16">
        <f>Posebni!K22</f>
        <v>5000</v>
      </c>
      <c r="S110" s="48">
        <f t="shared" si="51"/>
        <v>100</v>
      </c>
      <c r="T110" s="694">
        <f t="shared" si="38"/>
        <v>100</v>
      </c>
    </row>
    <row r="111" spans="1:20" x14ac:dyDescent="0.2">
      <c r="A111" s="504" t="s">
        <v>477</v>
      </c>
      <c r="B111" s="358"/>
      <c r="C111" s="358"/>
      <c r="D111" s="358"/>
      <c r="E111" s="358"/>
      <c r="F111" s="358"/>
      <c r="G111" s="358"/>
      <c r="H111" s="25">
        <v>3212</v>
      </c>
      <c r="I111" s="47" t="s">
        <v>153</v>
      </c>
      <c r="J111" s="16">
        <v>22400</v>
      </c>
      <c r="K111" s="16">
        <v>26000</v>
      </c>
      <c r="L111" s="16">
        <v>26000</v>
      </c>
      <c r="M111" s="16">
        <f>Posebni!F23+Posebni!F665</f>
        <v>35000</v>
      </c>
      <c r="N111" s="16">
        <f>Posebni!G23+Posebni!G665</f>
        <v>4645.2982945119111</v>
      </c>
      <c r="O111" s="16">
        <f>Posebni!I23+Posebni!I665+Posebni!I666</f>
        <v>6000</v>
      </c>
      <c r="P111" s="16" t="e">
        <f>Posebni!#REF!+Posebni!#REF!+Posebni!#REF!</f>
        <v>#REF!</v>
      </c>
      <c r="Q111" s="16">
        <f>Posebni!J23+Posebni!J665+Posebni!J666</f>
        <v>6000</v>
      </c>
      <c r="R111" s="16">
        <f>Posebni!K23+Posebni!K665+Posebni!K666</f>
        <v>6000</v>
      </c>
      <c r="S111" s="48">
        <f t="shared" si="51"/>
        <v>100</v>
      </c>
      <c r="T111" s="694">
        <f t="shared" si="38"/>
        <v>100</v>
      </c>
    </row>
    <row r="112" spans="1:20" x14ac:dyDescent="0.2">
      <c r="A112" s="504" t="s">
        <v>477</v>
      </c>
      <c r="B112" s="358"/>
      <c r="C112" s="358"/>
      <c r="D112" s="358"/>
      <c r="E112" s="358"/>
      <c r="F112" s="358"/>
      <c r="G112" s="358"/>
      <c r="H112" s="25">
        <v>3213</v>
      </c>
      <c r="I112" s="15" t="s">
        <v>51</v>
      </c>
      <c r="J112" s="16">
        <v>3500</v>
      </c>
      <c r="K112" s="16">
        <v>10000</v>
      </c>
      <c r="L112" s="16">
        <v>10000</v>
      </c>
      <c r="M112" s="16" t="e">
        <f>Posebni!F24+Posebni!#REF!</f>
        <v>#REF!</v>
      </c>
      <c r="N112" s="16" t="e">
        <f>Posebni!G24+Posebni!#REF!</f>
        <v>#REF!</v>
      </c>
      <c r="O112" s="16">
        <f>Posebni!I24</f>
        <v>3000</v>
      </c>
      <c r="P112" s="16" t="e">
        <f>Posebni!#REF!</f>
        <v>#REF!</v>
      </c>
      <c r="Q112" s="16">
        <f>Posebni!J24</f>
        <v>3000</v>
      </c>
      <c r="R112" s="16">
        <f>Posebni!K24</f>
        <v>3000</v>
      </c>
      <c r="S112" s="48">
        <f t="shared" si="51"/>
        <v>100</v>
      </c>
      <c r="T112" s="694">
        <f t="shared" si="38"/>
        <v>100</v>
      </c>
    </row>
    <row r="113" spans="1:20" x14ac:dyDescent="0.2">
      <c r="A113" s="504" t="s">
        <v>477</v>
      </c>
      <c r="B113" s="358"/>
      <c r="C113" s="358"/>
      <c r="D113" s="358"/>
      <c r="E113" s="358"/>
      <c r="F113" s="358"/>
      <c r="G113" s="358"/>
      <c r="H113" s="25">
        <v>3214</v>
      </c>
      <c r="I113" s="15" t="s">
        <v>142</v>
      </c>
      <c r="J113" s="16">
        <v>10928</v>
      </c>
      <c r="K113" s="16">
        <v>15000</v>
      </c>
      <c r="L113" s="16">
        <v>15000</v>
      </c>
      <c r="M113" s="16">
        <f>Posebni!F25+Posebni!F634</f>
        <v>16000</v>
      </c>
      <c r="N113" s="16">
        <f>Posebni!G25+Posebni!G634</f>
        <v>2123.5649346340169</v>
      </c>
      <c r="O113" s="16">
        <f>Posebni!I25+Posebni!I634+Posebni!I635</f>
        <v>4500</v>
      </c>
      <c r="P113" s="16" t="e">
        <f>Posebni!#REF!+Posebni!#REF!+Posebni!#REF!</f>
        <v>#REF!</v>
      </c>
      <c r="Q113" s="16">
        <f>Posebni!J25+Posebni!J634+Posebni!J635</f>
        <v>4500</v>
      </c>
      <c r="R113" s="16">
        <f>Posebni!K25+Posebni!K634+Posebni!K635</f>
        <v>4500</v>
      </c>
      <c r="S113" s="48">
        <f t="shared" si="51"/>
        <v>100</v>
      </c>
      <c r="T113" s="694">
        <f t="shared" si="38"/>
        <v>100</v>
      </c>
    </row>
    <row r="114" spans="1:20" s="1" customFormat="1" x14ac:dyDescent="0.2">
      <c r="A114" s="504"/>
      <c r="B114" s="358"/>
      <c r="C114" s="358"/>
      <c r="D114" s="358"/>
      <c r="E114" s="358"/>
      <c r="F114" s="358"/>
      <c r="G114" s="358"/>
      <c r="H114" s="24">
        <v>322</v>
      </c>
      <c r="I114" s="8" t="s">
        <v>52</v>
      </c>
      <c r="J114" s="12">
        <f t="shared" ref="J114:R114" si="53">SUM(J115:J119)</f>
        <v>281981</v>
      </c>
      <c r="K114" s="12">
        <f t="shared" si="53"/>
        <v>293000</v>
      </c>
      <c r="L114" s="12">
        <f t="shared" si="53"/>
        <v>310000</v>
      </c>
      <c r="M114" s="12">
        <f t="shared" si="53"/>
        <v>414000</v>
      </c>
      <c r="N114" s="12">
        <f t="shared" si="53"/>
        <v>54947.242683655182</v>
      </c>
      <c r="O114" s="12">
        <f t="shared" si="53"/>
        <v>65750</v>
      </c>
      <c r="P114" s="12" t="e">
        <f t="shared" si="53"/>
        <v>#REF!</v>
      </c>
      <c r="Q114" s="12">
        <f t="shared" si="53"/>
        <v>69250</v>
      </c>
      <c r="R114" s="12">
        <f t="shared" si="53"/>
        <v>67250</v>
      </c>
      <c r="S114" s="48">
        <f t="shared" si="51"/>
        <v>105.32319391634981</v>
      </c>
      <c r="T114" s="694">
        <f t="shared" si="38"/>
        <v>97.111913357400724</v>
      </c>
    </row>
    <row r="115" spans="1:20" x14ac:dyDescent="0.2">
      <c r="A115" s="504" t="s">
        <v>477</v>
      </c>
      <c r="B115" s="358"/>
      <c r="C115" s="358"/>
      <c r="D115" s="358"/>
      <c r="E115" s="358"/>
      <c r="F115" s="358"/>
      <c r="G115" s="358"/>
      <c r="H115" s="25">
        <v>3221</v>
      </c>
      <c r="I115" s="15" t="s">
        <v>53</v>
      </c>
      <c r="J115" s="16">
        <v>5612</v>
      </c>
      <c r="K115" s="16">
        <v>15000</v>
      </c>
      <c r="L115" s="16">
        <v>15000</v>
      </c>
      <c r="M115" s="16">
        <f>Posebni!F31+Posebni!F637</f>
        <v>27000</v>
      </c>
      <c r="N115" s="16">
        <f>Posebni!G31+Posebni!G637</f>
        <v>3583.5158271949035</v>
      </c>
      <c r="O115" s="16">
        <f>Posebni!I31+Posebni!I105+Posebni!I637+Posebni!I638</f>
        <v>11000</v>
      </c>
      <c r="P115" s="16" t="e">
        <f>Posebni!#REF!+Posebni!#REF!+Posebni!#REF!+Posebni!#REF!</f>
        <v>#REF!</v>
      </c>
      <c r="Q115" s="16">
        <f>Posebni!J31+Posebni!J105+Posebni!J637+Posebni!J638</f>
        <v>11000</v>
      </c>
      <c r="R115" s="16">
        <f>Posebni!K31+Posebni!K105+Posebni!K637+Posebni!K638</f>
        <v>11000</v>
      </c>
      <c r="S115" s="48">
        <f t="shared" si="51"/>
        <v>100</v>
      </c>
      <c r="T115" s="694">
        <f t="shared" si="38"/>
        <v>100</v>
      </c>
    </row>
    <row r="116" spans="1:20" x14ac:dyDescent="0.2">
      <c r="A116" s="504" t="s">
        <v>477</v>
      </c>
      <c r="B116" s="358"/>
      <c r="C116" s="358"/>
      <c r="D116" s="358"/>
      <c r="E116" s="358"/>
      <c r="F116" s="358"/>
      <c r="G116" s="358"/>
      <c r="H116" s="25">
        <v>3223</v>
      </c>
      <c r="I116" s="15" t="s">
        <v>54</v>
      </c>
      <c r="J116" s="16">
        <v>251496</v>
      </c>
      <c r="K116" s="16">
        <v>250000</v>
      </c>
      <c r="L116" s="16">
        <v>250000</v>
      </c>
      <c r="M116" s="16">
        <f>Posebni!F318+Posebni!F32</f>
        <v>190000</v>
      </c>
      <c r="N116" s="16">
        <f>Posebni!G318+Posebni!G32</f>
        <v>25217.333598778947</v>
      </c>
      <c r="O116" s="16">
        <f>Posebni!I318+Posebni!I32+Posebni!I33</f>
        <v>32000</v>
      </c>
      <c r="P116" s="16" t="e">
        <f>Posebni!#REF!+Posebni!#REF!+Posebni!#REF!</f>
        <v>#REF!</v>
      </c>
      <c r="Q116" s="16">
        <f>Posebni!J318+Posebni!J32+Posebni!J33</f>
        <v>35500</v>
      </c>
      <c r="R116" s="16">
        <f>Posebni!K318+Posebni!K32+Posebni!K33</f>
        <v>35500</v>
      </c>
      <c r="S116" s="48">
        <f t="shared" si="51"/>
        <v>110.9375</v>
      </c>
      <c r="T116" s="694">
        <f t="shared" si="38"/>
        <v>100</v>
      </c>
    </row>
    <row r="117" spans="1:20" x14ac:dyDescent="0.2">
      <c r="A117" s="504" t="s">
        <v>477</v>
      </c>
      <c r="B117" s="358"/>
      <c r="C117" s="358"/>
      <c r="D117" s="358"/>
      <c r="E117" s="358"/>
      <c r="F117" s="358"/>
      <c r="G117" s="358"/>
      <c r="H117" s="25">
        <v>3224</v>
      </c>
      <c r="I117" s="15" t="s">
        <v>154</v>
      </c>
      <c r="J117" s="16">
        <v>21072</v>
      </c>
      <c r="K117" s="16">
        <v>20000</v>
      </c>
      <c r="L117" s="16">
        <v>30000</v>
      </c>
      <c r="M117" s="16">
        <f>Posebni!F34+Posebni!F446</f>
        <v>32000</v>
      </c>
      <c r="N117" s="16">
        <f>Posebni!G34+Posebni!G446</f>
        <v>4247.129869268033</v>
      </c>
      <c r="O117" s="16">
        <f>Posebni!I34+Posebni!I446</f>
        <v>2250</v>
      </c>
      <c r="P117" s="16" t="e">
        <f>Posebni!#REF!+Posebni!#REF!</f>
        <v>#REF!</v>
      </c>
      <c r="Q117" s="16">
        <f>Posebni!J34+Posebni!J446</f>
        <v>3250</v>
      </c>
      <c r="R117" s="16">
        <f>Posebni!K34+Posebni!K446</f>
        <v>2250</v>
      </c>
      <c r="S117" s="48">
        <f t="shared" si="51"/>
        <v>144.44444444444443</v>
      </c>
      <c r="T117" s="694">
        <f t="shared" si="38"/>
        <v>69.230769230769226</v>
      </c>
    </row>
    <row r="118" spans="1:20" x14ac:dyDescent="0.2">
      <c r="A118" s="504" t="s">
        <v>477</v>
      </c>
      <c r="B118" s="358"/>
      <c r="C118" s="358"/>
      <c r="D118" s="358"/>
      <c r="E118" s="358"/>
      <c r="F118" s="358"/>
      <c r="G118" s="358"/>
      <c r="H118" s="25">
        <v>3225</v>
      </c>
      <c r="I118" s="15" t="s">
        <v>55</v>
      </c>
      <c r="J118" s="16">
        <v>3801</v>
      </c>
      <c r="K118" s="16">
        <v>8000</v>
      </c>
      <c r="L118" s="16">
        <v>15000</v>
      </c>
      <c r="M118" s="16">
        <f>Posebni!F35+Posebni!F311+Posebni!F372</f>
        <v>145000</v>
      </c>
      <c r="N118" s="16">
        <f>Posebni!G35+Posebni!G311+Posebni!G372</f>
        <v>19244.807220120776</v>
      </c>
      <c r="O118" s="16">
        <f>Posebni!I35+Posebni!I311+Posebni!I372</f>
        <v>14500</v>
      </c>
      <c r="P118" s="16" t="e">
        <f>Posebni!#REF!+Posebni!#REF!+Posebni!#REF!</f>
        <v>#REF!</v>
      </c>
      <c r="Q118" s="16">
        <f>Posebni!J35+Posebni!J311+Posebni!J372</f>
        <v>14000</v>
      </c>
      <c r="R118" s="16">
        <f>Posebni!K35+Posebni!K311+Posebni!K372</f>
        <v>14000</v>
      </c>
      <c r="S118" s="48">
        <f t="shared" si="51"/>
        <v>96.551724137931032</v>
      </c>
      <c r="T118" s="694">
        <f t="shared" ref="T118:T138" si="54">R118/Q118*100</f>
        <v>100</v>
      </c>
    </row>
    <row r="119" spans="1:20" x14ac:dyDescent="0.2">
      <c r="A119" s="504" t="s">
        <v>477</v>
      </c>
      <c r="B119" s="358"/>
      <c r="C119" s="358"/>
      <c r="D119" s="358"/>
      <c r="E119" s="358"/>
      <c r="F119" s="358"/>
      <c r="G119" s="358"/>
      <c r="H119" s="25">
        <v>3227</v>
      </c>
      <c r="I119" s="15" t="s">
        <v>135</v>
      </c>
      <c r="J119" s="16">
        <v>0</v>
      </c>
      <c r="K119" s="16">
        <v>0</v>
      </c>
      <c r="L119" s="16">
        <v>0</v>
      </c>
      <c r="M119" s="16">
        <f>Posebni!F36+Posebni!F244</f>
        <v>20000</v>
      </c>
      <c r="N119" s="16">
        <f>Posebni!G36+Posebni!G244</f>
        <v>2654.4561682925209</v>
      </c>
      <c r="O119" s="16">
        <f>Posebni!I36+Posebni!I244</f>
        <v>6000</v>
      </c>
      <c r="P119" s="16" t="e">
        <f>Posebni!#REF!+Posebni!#REF!</f>
        <v>#REF!</v>
      </c>
      <c r="Q119" s="16">
        <f>Posebni!J36+Posebni!J244</f>
        <v>5500</v>
      </c>
      <c r="R119" s="16">
        <f>Posebni!K36+Posebni!K244</f>
        <v>4500</v>
      </c>
      <c r="S119" s="48">
        <f t="shared" si="51"/>
        <v>91.666666666666657</v>
      </c>
      <c r="T119" s="694">
        <f t="shared" si="54"/>
        <v>81.818181818181827</v>
      </c>
    </row>
    <row r="120" spans="1:20" s="1" customFormat="1" x14ac:dyDescent="0.2">
      <c r="A120" s="504"/>
      <c r="B120" s="358"/>
      <c r="C120" s="358" t="s">
        <v>362</v>
      </c>
      <c r="D120" s="358" t="s">
        <v>363</v>
      </c>
      <c r="E120" s="358"/>
      <c r="F120" s="358" t="s">
        <v>365</v>
      </c>
      <c r="G120" s="358"/>
      <c r="H120" s="24">
        <v>323</v>
      </c>
      <c r="I120" s="8" t="s">
        <v>56</v>
      </c>
      <c r="J120" s="12">
        <f t="shared" ref="J120:R120" si="55">SUM(J121:J128)</f>
        <v>913407</v>
      </c>
      <c r="K120" s="12">
        <f t="shared" si="55"/>
        <v>896000</v>
      </c>
      <c r="L120" s="12">
        <f t="shared" si="55"/>
        <v>1059000</v>
      </c>
      <c r="M120" s="12" t="e">
        <f t="shared" si="55"/>
        <v>#REF!</v>
      </c>
      <c r="N120" s="12" t="e">
        <f t="shared" si="55"/>
        <v>#REF!</v>
      </c>
      <c r="O120" s="12">
        <f t="shared" si="55"/>
        <v>644900</v>
      </c>
      <c r="P120" s="12" t="e">
        <f t="shared" si="55"/>
        <v>#REF!</v>
      </c>
      <c r="Q120" s="12">
        <f t="shared" si="55"/>
        <v>461500</v>
      </c>
      <c r="R120" s="12">
        <f t="shared" si="55"/>
        <v>541300</v>
      </c>
      <c r="S120" s="48">
        <f t="shared" si="51"/>
        <v>71.561482400372157</v>
      </c>
      <c r="T120" s="694">
        <f t="shared" si="54"/>
        <v>117.29144095341277</v>
      </c>
    </row>
    <row r="121" spans="1:20" x14ac:dyDescent="0.2">
      <c r="A121" s="504" t="s">
        <v>477</v>
      </c>
      <c r="B121" s="358"/>
      <c r="C121" s="358"/>
      <c r="D121" s="358"/>
      <c r="E121" s="358"/>
      <c r="F121" s="358"/>
      <c r="G121" s="358"/>
      <c r="H121" s="25">
        <v>3231</v>
      </c>
      <c r="I121" s="15" t="s">
        <v>57</v>
      </c>
      <c r="J121" s="16">
        <v>32822</v>
      </c>
      <c r="K121" s="16">
        <v>35000</v>
      </c>
      <c r="L121" s="16">
        <v>35000</v>
      </c>
      <c r="M121" s="16">
        <f>Posebni!F38</f>
        <v>45000</v>
      </c>
      <c r="N121" s="16">
        <f>Posebni!G38</f>
        <v>5972.5263786581718</v>
      </c>
      <c r="O121" s="16">
        <f>Posebni!I38</f>
        <v>7000</v>
      </c>
      <c r="P121" s="16" t="e">
        <f>Posebni!#REF!</f>
        <v>#REF!</v>
      </c>
      <c r="Q121" s="16">
        <f>Posebni!J38</f>
        <v>7000</v>
      </c>
      <c r="R121" s="16">
        <f>Posebni!K38</f>
        <v>7000</v>
      </c>
      <c r="S121" s="48">
        <f t="shared" si="51"/>
        <v>100</v>
      </c>
      <c r="T121" s="694">
        <f t="shared" si="54"/>
        <v>100</v>
      </c>
    </row>
    <row r="122" spans="1:20" x14ac:dyDescent="0.2">
      <c r="A122" s="504" t="s">
        <v>477</v>
      </c>
      <c r="B122" s="358"/>
      <c r="C122" s="358"/>
      <c r="D122" s="358"/>
      <c r="E122" s="358"/>
      <c r="F122" s="358"/>
      <c r="G122" s="358"/>
      <c r="H122" s="25">
        <v>3232</v>
      </c>
      <c r="I122" s="15" t="s">
        <v>58</v>
      </c>
      <c r="J122" s="16">
        <v>498251</v>
      </c>
      <c r="K122" s="16">
        <v>500000</v>
      </c>
      <c r="L122" s="16">
        <v>600000</v>
      </c>
      <c r="M122" s="16" t="e">
        <f>Posebni!F39+Posebni!F320+Posebni!F327+Posebni!F336+Posebni!#REF!+Posebni!#REF!+Posebni!F342+Posebni!F348+Posebni!F354+Posebni!F360+Posebni!F366+Posebni!F382+Posebni!F448+Posebni!F506+Posebni!#REF!+Posebni!#REF!+Posebni!F529</f>
        <v>#REF!</v>
      </c>
      <c r="N122" s="16" t="e">
        <f>Posebni!G39+Posebni!G320+Posebni!G327+Posebni!G336+Posebni!#REF!+Posebni!#REF!+Posebni!G342+Posebni!G348+Posebni!G354+Posebni!G360+Posebni!G366+Posebni!G382+Posebni!G448+Posebni!G506+Posebni!#REF!+Posebni!#REF!+Posebni!G529</f>
        <v>#REF!</v>
      </c>
      <c r="O122" s="16">
        <f>Posebni!I39+Posebni!I320+Posebni!I327+Posebni!I336+Posebni!I342+Posebni!I348+Posebni!I354+Posebni!I360+Posebni!I366+Posebni!I390+Posebni!I391+Posebni!I448</f>
        <v>200500</v>
      </c>
      <c r="P122" s="16" t="e">
        <f>Posebni!#REF!+Posebni!#REF!+Posebni!#REF!+Posebni!#REF!+Posebni!#REF!+Posebni!#REF!+Posebni!#REF!+Posebni!#REF!+Posebni!#REF!+Posebni!#REF!+Posebni!#REF!+Posebni!#REF!</f>
        <v>#REF!</v>
      </c>
      <c r="Q122" s="16">
        <f>Posebni!J39+Posebni!J320+Posebni!J327+Posebni!J336+Posebni!J342+Posebni!J348+Posebni!J354+Posebni!J360+Posebni!J366+Posebni!J390+Posebni!J391+Posebni!J448</f>
        <v>170500</v>
      </c>
      <c r="R122" s="16">
        <f>Posebni!K39+Posebni!K320+Posebni!K327+Posebni!K336+Posebni!K342+Posebni!K348+Posebni!K354+Posebni!K360+Posebni!K366+Posebni!K390+Posebni!K391+Posebni!K448</f>
        <v>221500</v>
      </c>
      <c r="S122" s="48">
        <f t="shared" si="51"/>
        <v>85.037406483790519</v>
      </c>
      <c r="T122" s="694">
        <f t="shared" si="54"/>
        <v>129.91202346041055</v>
      </c>
    </row>
    <row r="123" spans="1:20" x14ac:dyDescent="0.2">
      <c r="A123" s="504" t="s">
        <v>477</v>
      </c>
      <c r="B123" s="358"/>
      <c r="C123" s="358"/>
      <c r="D123" s="358"/>
      <c r="E123" s="358"/>
      <c r="F123" s="358"/>
      <c r="G123" s="358"/>
      <c r="H123" s="25">
        <v>3233</v>
      </c>
      <c r="I123" s="15" t="s">
        <v>59</v>
      </c>
      <c r="J123" s="16">
        <v>76081</v>
      </c>
      <c r="K123" s="16">
        <v>30000</v>
      </c>
      <c r="L123" s="16">
        <v>30000</v>
      </c>
      <c r="M123" s="16">
        <f>Posebni!F40+Posebni!F272+Posebni!F644</f>
        <v>36000</v>
      </c>
      <c r="N123" s="16">
        <f>Posebni!G40+Posebni!G272+Posebni!G644</f>
        <v>4778.0211029265383</v>
      </c>
      <c r="O123" s="16">
        <f>Posebni!I40+Posebni!I156+Posebni!I157+Posebni!I272+Posebni!I644+Posebni!I645</f>
        <v>46600</v>
      </c>
      <c r="P123" s="16" t="e">
        <f>Posebni!#REF!+Posebni!#REF!+Posebni!#REF!+Posebni!#REF!+Posebni!#REF!+Posebni!#REF!</f>
        <v>#REF!</v>
      </c>
      <c r="Q123" s="16">
        <f>Posebni!J40+Posebni!J156+Posebni!J157+Posebni!J272+Posebni!J644+Posebni!J645</f>
        <v>48000</v>
      </c>
      <c r="R123" s="16">
        <f>Posebni!K40+Posebni!K156+Posebni!K157+Posebni!K272+Posebni!K644+Posebni!K645</f>
        <v>48000</v>
      </c>
      <c r="S123" s="48">
        <f t="shared" si="51"/>
        <v>103.00429184549355</v>
      </c>
      <c r="T123" s="694">
        <f t="shared" si="54"/>
        <v>100</v>
      </c>
    </row>
    <row r="124" spans="1:20" x14ac:dyDescent="0.2">
      <c r="A124" s="504" t="s">
        <v>479</v>
      </c>
      <c r="B124" s="358"/>
      <c r="C124" s="358"/>
      <c r="D124" s="358"/>
      <c r="E124" s="358"/>
      <c r="F124" s="358"/>
      <c r="G124" s="358"/>
      <c r="H124" s="25">
        <v>3234</v>
      </c>
      <c r="I124" s="15" t="s">
        <v>60</v>
      </c>
      <c r="J124" s="16">
        <v>148075</v>
      </c>
      <c r="K124" s="16">
        <v>120000</v>
      </c>
      <c r="L124" s="16">
        <v>150000</v>
      </c>
      <c r="M124" s="16">
        <f>Posebni!F41+Posebni!F206+Posebni!F305+Posebni!F326</f>
        <v>305000</v>
      </c>
      <c r="N124" s="16">
        <f>Posebni!G41+Posebni!G206+Posebni!G305+Posebni!G326</f>
        <v>40480.456566460947</v>
      </c>
      <c r="O124" s="16">
        <f>Posebni!I41+Posebni!I206+Posebni!I305+Posebni!I326</f>
        <v>75000</v>
      </c>
      <c r="P124" s="16" t="e">
        <f>Posebni!#REF!+Posebni!#REF!+Posebni!#REF!+Posebni!#REF!</f>
        <v>#REF!</v>
      </c>
      <c r="Q124" s="16">
        <f>Posebni!J41+Posebni!J206+Posebni!J305+Posebni!J326</f>
        <v>81000</v>
      </c>
      <c r="R124" s="16">
        <f>Posebni!K41+Posebni!K206+Posebni!K305+Posebni!K326</f>
        <v>81000</v>
      </c>
      <c r="S124" s="48">
        <f t="shared" si="51"/>
        <v>108</v>
      </c>
      <c r="T124" s="694">
        <f t="shared" si="54"/>
        <v>100</v>
      </c>
    </row>
    <row r="125" spans="1:20" x14ac:dyDescent="0.2">
      <c r="A125" s="504" t="s">
        <v>477</v>
      </c>
      <c r="B125" s="358"/>
      <c r="C125" s="358"/>
      <c r="D125" s="358"/>
      <c r="E125" s="358"/>
      <c r="F125" s="358"/>
      <c r="G125" s="358"/>
      <c r="H125" s="25">
        <v>3236</v>
      </c>
      <c r="I125" s="15" t="s">
        <v>61</v>
      </c>
      <c r="J125" s="16">
        <v>0</v>
      </c>
      <c r="K125" s="16">
        <v>1000</v>
      </c>
      <c r="L125" s="16">
        <v>1000</v>
      </c>
      <c r="M125" s="16" t="e">
        <f>Posebni!F42+Posebni!F219+Posebni!#REF!</f>
        <v>#REF!</v>
      </c>
      <c r="N125" s="16" t="e">
        <f>Posebni!G42+Posebni!G219+Posebni!#REF!</f>
        <v>#REF!</v>
      </c>
      <c r="O125" s="16">
        <f>Posebni!I42+Posebni!I219</f>
        <v>6800</v>
      </c>
      <c r="P125" s="16" t="e">
        <f>Posebni!#REF!+Posebni!#REF!</f>
        <v>#REF!</v>
      </c>
      <c r="Q125" s="16">
        <f>Posebni!J42+Posebni!J219</f>
        <v>5000</v>
      </c>
      <c r="R125" s="16">
        <f>Posebni!K42+Posebni!K219</f>
        <v>6800</v>
      </c>
      <c r="S125" s="48">
        <f t="shared" si="51"/>
        <v>73.529411764705884</v>
      </c>
      <c r="T125" s="694">
        <f t="shared" si="54"/>
        <v>136</v>
      </c>
    </row>
    <row r="126" spans="1:20" x14ac:dyDescent="0.2">
      <c r="A126" s="504" t="s">
        <v>477</v>
      </c>
      <c r="B126" s="358"/>
      <c r="C126" s="358"/>
      <c r="D126" s="358"/>
      <c r="E126" s="358"/>
      <c r="F126" s="358"/>
      <c r="G126" s="358"/>
      <c r="H126" s="25">
        <v>3237</v>
      </c>
      <c r="I126" s="15" t="s">
        <v>62</v>
      </c>
      <c r="J126" s="16">
        <v>134917</v>
      </c>
      <c r="K126" s="16">
        <v>180000</v>
      </c>
      <c r="L126" s="16">
        <v>200000</v>
      </c>
      <c r="M126" s="16">
        <f>Posebni!F43+Posebni!F83+Posebni!F132+Posebni!F251+Posebni!F252</f>
        <v>295000</v>
      </c>
      <c r="N126" s="16">
        <f>Posebni!G43+Posebni!G83+Posebni!G132+Posebni!G251+Posebni!G252</f>
        <v>39153.228482314684</v>
      </c>
      <c r="O126" s="16">
        <f>Posebni!I43+Posebni!I83+Posebni!I132+Posebni!I154+Posebni!I155+Posebni!I251+Posebni!I252+Posebni!I384+Posebni!I415+Posebni!I439+Posebni!I487+Posebni!I488+Posebni!I497+Posebni!I498+Posebni!I499+Posebni!I500+Posebni!I516+Posebni!I517+Posebni!I542+Posebni!I543+Posebni!I544+Posebni!I545+Posebni!I546+Posebni!I547+Posebni!I548+Posebni!I549+Posebni!I585+Posebni!I594+Posebni!I595+Posebni!I646+Posebni!I647</f>
        <v>278000</v>
      </c>
      <c r="P126" s="16" t="e">
        <f>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</f>
        <v>#REF!</v>
      </c>
      <c r="Q126" s="16">
        <f>Posebni!J43+Posebni!J83+Posebni!J132+Posebni!J154+Posebni!J155+Posebni!J251+Posebni!J252+Posebni!J384+Posebni!J415+Posebni!J439+Posebni!J487+Posebni!J488+Posebni!J497+Posebni!J498+Posebni!J499+Posebni!J500+Posebni!J516+Posebni!J517+Posebni!J542+Posebni!J543+Posebni!J544+Posebni!J545+Posebni!J546+Posebni!J547+Posebni!J548+Posebni!J549+Posebni!J585+Posebni!J594+Posebni!J595+Posebni!J646+Posebni!J647</f>
        <v>121000</v>
      </c>
      <c r="R126" s="16">
        <f>Posebni!K43+Posebni!K83+Posebni!K132+Posebni!K154+Posebni!K155+Posebni!K251+Posebni!K252+Posebni!K384+Posebni!K415+Posebni!K439+Posebni!K487+Posebni!K488+Posebni!K497+Posebni!K498+Posebni!K499+Posebni!K500+Posebni!K516+Posebni!K517+Posebni!K542+Posebni!K543+Posebni!K544+Posebni!K545+Posebni!K546+Posebni!K547+Posebni!K548+Posebni!K549+Posebni!K585+Posebni!K594+Posebni!K595+Posebni!K646+Posebni!K647</f>
        <v>147000</v>
      </c>
      <c r="S126" s="48">
        <f t="shared" si="51"/>
        <v>43.525179856115109</v>
      </c>
      <c r="T126" s="694">
        <f t="shared" si="54"/>
        <v>121.48760330578511</v>
      </c>
    </row>
    <row r="127" spans="1:20" x14ac:dyDescent="0.2">
      <c r="A127" s="504" t="s">
        <v>477</v>
      </c>
      <c r="B127" s="358"/>
      <c r="C127" s="358"/>
      <c r="D127" s="358"/>
      <c r="E127" s="358"/>
      <c r="F127" s="358"/>
      <c r="G127" s="358"/>
      <c r="H127" s="25">
        <v>3238</v>
      </c>
      <c r="I127" s="15" t="s">
        <v>63</v>
      </c>
      <c r="J127" s="16">
        <v>3376</v>
      </c>
      <c r="K127" s="16">
        <v>5000</v>
      </c>
      <c r="L127" s="16">
        <v>13000</v>
      </c>
      <c r="M127" s="16">
        <f>Posebni!F44</f>
        <v>25000</v>
      </c>
      <c r="N127" s="16">
        <f>Posebni!G44</f>
        <v>3318.0702103656513</v>
      </c>
      <c r="O127" s="16">
        <f>Posebni!I44</f>
        <v>6000</v>
      </c>
      <c r="P127" s="16" t="e">
        <f>Posebni!#REF!</f>
        <v>#REF!</v>
      </c>
      <c r="Q127" s="16">
        <f>Posebni!J44</f>
        <v>6000</v>
      </c>
      <c r="R127" s="16">
        <f>Posebni!K44</f>
        <v>6000</v>
      </c>
      <c r="S127" s="48">
        <f t="shared" si="51"/>
        <v>100</v>
      </c>
      <c r="T127" s="694">
        <f t="shared" si="54"/>
        <v>100</v>
      </c>
    </row>
    <row r="128" spans="1:20" x14ac:dyDescent="0.2">
      <c r="A128" s="504" t="s">
        <v>477</v>
      </c>
      <c r="B128" s="358"/>
      <c r="C128" s="358"/>
      <c r="D128" s="358"/>
      <c r="E128" s="358"/>
      <c r="F128" s="358"/>
      <c r="G128" s="358"/>
      <c r="H128" s="25">
        <v>3239</v>
      </c>
      <c r="I128" s="15" t="s">
        <v>64</v>
      </c>
      <c r="J128" s="16">
        <v>19885</v>
      </c>
      <c r="K128" s="16">
        <v>25000</v>
      </c>
      <c r="L128" s="16">
        <v>30000</v>
      </c>
      <c r="M128" s="16" t="e">
        <f>Posebni!F45+Posebni!F107+Posebni!#REF!+Posebni!F273+Posebni!F374</f>
        <v>#REF!</v>
      </c>
      <c r="N128" s="16" t="e">
        <f>Posebni!G45+Posebni!G107+Posebni!#REF!+Posebni!G273+Posebni!G374</f>
        <v>#REF!</v>
      </c>
      <c r="O128" s="16">
        <f>Posebni!I45+Posebni!I107+Posebni!I273+Posebni!I374</f>
        <v>25000</v>
      </c>
      <c r="P128" s="16" t="e">
        <f>Posebni!#REF!+Posebni!#REF!+Posebni!#REF!+Posebni!#REF!</f>
        <v>#REF!</v>
      </c>
      <c r="Q128" s="16">
        <f>Posebni!J45+Posebni!J107+Posebni!J273+Posebni!J374</f>
        <v>23000</v>
      </c>
      <c r="R128" s="16">
        <f>Posebni!K45+Posebni!K107+Posebni!K273+Posebni!K374</f>
        <v>24000</v>
      </c>
      <c r="S128" s="48">
        <f t="shared" si="51"/>
        <v>92</v>
      </c>
      <c r="T128" s="694">
        <f t="shared" si="54"/>
        <v>104.34782608695652</v>
      </c>
    </row>
    <row r="129" spans="1:20" s="29" customFormat="1" x14ac:dyDescent="0.2">
      <c r="A129" s="504"/>
      <c r="B129" s="358"/>
      <c r="C129" s="358"/>
      <c r="D129" s="358"/>
      <c r="E129" s="358"/>
      <c r="F129" s="358"/>
      <c r="G129" s="358"/>
      <c r="H129" s="28">
        <v>324</v>
      </c>
      <c r="I129" s="348" t="s">
        <v>359</v>
      </c>
      <c r="J129" s="30">
        <f t="shared" ref="J129:R129" si="56">SUM(J130)</f>
        <v>0</v>
      </c>
      <c r="K129" s="30">
        <f t="shared" si="56"/>
        <v>1000</v>
      </c>
      <c r="L129" s="30">
        <f t="shared" si="56"/>
        <v>1000</v>
      </c>
      <c r="M129" s="30">
        <f t="shared" si="56"/>
        <v>35000</v>
      </c>
      <c r="N129" s="30">
        <f t="shared" si="56"/>
        <v>4645.298294511912</v>
      </c>
      <c r="O129" s="12">
        <f t="shared" si="56"/>
        <v>7000</v>
      </c>
      <c r="P129" s="624" t="e">
        <f t="shared" si="56"/>
        <v>#REF!</v>
      </c>
      <c r="Q129" s="12">
        <f t="shared" si="56"/>
        <v>7000</v>
      </c>
      <c r="R129" s="12">
        <f t="shared" si="56"/>
        <v>7000</v>
      </c>
      <c r="S129" s="48">
        <f t="shared" si="51"/>
        <v>100</v>
      </c>
      <c r="T129" s="694">
        <f t="shared" si="54"/>
        <v>100</v>
      </c>
    </row>
    <row r="130" spans="1:20" x14ac:dyDescent="0.2">
      <c r="A130" s="504" t="s">
        <v>477</v>
      </c>
      <c r="B130" s="358"/>
      <c r="C130" s="358"/>
      <c r="D130" s="358"/>
      <c r="E130" s="358"/>
      <c r="F130" s="358"/>
      <c r="G130" s="358"/>
      <c r="H130" s="27">
        <v>3241</v>
      </c>
      <c r="I130" s="10" t="s">
        <v>143</v>
      </c>
      <c r="J130" s="16">
        <v>0</v>
      </c>
      <c r="K130" s="16">
        <v>1000</v>
      </c>
      <c r="L130" s="16">
        <v>1000</v>
      </c>
      <c r="M130" s="16">
        <f>Posebni!F47</f>
        <v>35000</v>
      </c>
      <c r="N130" s="16">
        <f>Posebni!G47</f>
        <v>4645.298294511912</v>
      </c>
      <c r="O130" s="16">
        <f>Posebni!I47</f>
        <v>7000</v>
      </c>
      <c r="P130" s="16" t="e">
        <f>Posebni!#REF!</f>
        <v>#REF!</v>
      </c>
      <c r="Q130" s="16">
        <f>Posebni!J47</f>
        <v>7000</v>
      </c>
      <c r="R130" s="16">
        <f>Posebni!K47</f>
        <v>7000</v>
      </c>
      <c r="S130" s="48">
        <f t="shared" si="51"/>
        <v>100</v>
      </c>
      <c r="T130" s="694">
        <f t="shared" si="54"/>
        <v>100</v>
      </c>
    </row>
    <row r="131" spans="1:20" s="1" customFormat="1" x14ac:dyDescent="0.2">
      <c r="A131" s="504"/>
      <c r="B131" s="358"/>
      <c r="C131" s="358"/>
      <c r="D131" s="358"/>
      <c r="E131" s="358"/>
      <c r="F131" s="358"/>
      <c r="G131" s="358"/>
      <c r="H131" s="24">
        <v>329</v>
      </c>
      <c r="I131" s="8" t="s">
        <v>65</v>
      </c>
      <c r="J131" s="12">
        <f t="shared" ref="J131:P131" si="57">SUM(J132:J137)</f>
        <v>263498</v>
      </c>
      <c r="K131" s="12">
        <f t="shared" si="57"/>
        <v>174000</v>
      </c>
      <c r="L131" s="12">
        <f t="shared" si="57"/>
        <v>224000</v>
      </c>
      <c r="M131" s="12">
        <f t="shared" si="57"/>
        <v>292000</v>
      </c>
      <c r="N131" s="12">
        <f t="shared" si="57"/>
        <v>38755.060057070805</v>
      </c>
      <c r="O131" s="12">
        <f t="shared" si="57"/>
        <v>48000</v>
      </c>
      <c r="P131" s="624" t="e">
        <f t="shared" si="57"/>
        <v>#REF!</v>
      </c>
      <c r="Q131" s="12">
        <f>SUM(Q132:Q137)</f>
        <v>49000</v>
      </c>
      <c r="R131" s="12">
        <f>SUM(R132:R137)</f>
        <v>49000</v>
      </c>
      <c r="S131" s="48">
        <f t="shared" si="51"/>
        <v>102.08333333333333</v>
      </c>
      <c r="T131" s="694">
        <f t="shared" si="54"/>
        <v>100</v>
      </c>
    </row>
    <row r="132" spans="1:20" x14ac:dyDescent="0.2">
      <c r="A132" s="504" t="s">
        <v>637</v>
      </c>
      <c r="B132" s="358"/>
      <c r="C132" s="358"/>
      <c r="D132" s="358"/>
      <c r="E132" s="358"/>
      <c r="F132" s="358"/>
      <c r="G132" s="358"/>
      <c r="H132" s="25">
        <v>3291</v>
      </c>
      <c r="I132" s="47" t="s">
        <v>342</v>
      </c>
      <c r="J132" s="16">
        <v>139148</v>
      </c>
      <c r="K132" s="16">
        <v>50000</v>
      </c>
      <c r="L132" s="16">
        <v>100000</v>
      </c>
      <c r="M132" s="16">
        <f>Posebni!F96+Posebni!F109</f>
        <v>140000</v>
      </c>
      <c r="N132" s="16">
        <f>Posebni!G96+Posebni!G109</f>
        <v>18581.193178047648</v>
      </c>
      <c r="O132" s="16">
        <f>Posebni!I96+Posebni!I109</f>
        <v>10000</v>
      </c>
      <c r="P132" s="16" t="e">
        <f>Posebni!#REF!+Posebni!#REF!</f>
        <v>#REF!</v>
      </c>
      <c r="Q132" s="16">
        <f>Posebni!J96+Posebni!J109</f>
        <v>10000</v>
      </c>
      <c r="R132" s="16">
        <f>Posebni!K96+Posebni!K109</f>
        <v>10000</v>
      </c>
      <c r="S132" s="48">
        <f t="shared" si="51"/>
        <v>100</v>
      </c>
      <c r="T132" s="694">
        <f t="shared" si="54"/>
        <v>100</v>
      </c>
    </row>
    <row r="133" spans="1:20" x14ac:dyDescent="0.2">
      <c r="A133" s="504" t="s">
        <v>477</v>
      </c>
      <c r="B133" s="358"/>
      <c r="C133" s="358"/>
      <c r="D133" s="358"/>
      <c r="E133" s="358"/>
      <c r="F133" s="358"/>
      <c r="G133" s="358"/>
      <c r="H133" s="25">
        <v>3292</v>
      </c>
      <c r="I133" s="15" t="s">
        <v>67</v>
      </c>
      <c r="J133" s="16">
        <v>11718</v>
      </c>
      <c r="K133" s="16">
        <v>12000</v>
      </c>
      <c r="L133" s="16">
        <v>12000</v>
      </c>
      <c r="M133" s="16">
        <f>Posebni!F49</f>
        <v>15000</v>
      </c>
      <c r="N133" s="16">
        <f>Posebni!G49</f>
        <v>1990.8421262193906</v>
      </c>
      <c r="O133" s="16">
        <f>Posebni!I49</f>
        <v>2000</v>
      </c>
      <c r="P133" s="16" t="e">
        <f>Posebni!#REF!</f>
        <v>#REF!</v>
      </c>
      <c r="Q133" s="16">
        <f>Posebni!J49</f>
        <v>2000</v>
      </c>
      <c r="R133" s="16">
        <f>Posebni!K49</f>
        <v>2000</v>
      </c>
      <c r="S133" s="48">
        <f t="shared" si="51"/>
        <v>100</v>
      </c>
      <c r="T133" s="694">
        <f t="shared" si="54"/>
        <v>100</v>
      </c>
    </row>
    <row r="134" spans="1:20" x14ac:dyDescent="0.2">
      <c r="A134" s="504" t="s">
        <v>477</v>
      </c>
      <c r="B134" s="358"/>
      <c r="C134" s="358"/>
      <c r="D134" s="358"/>
      <c r="E134" s="358"/>
      <c r="F134" s="358"/>
      <c r="G134" s="358"/>
      <c r="H134" s="25">
        <v>3293</v>
      </c>
      <c r="I134" s="15" t="s">
        <v>68</v>
      </c>
      <c r="J134" s="16">
        <v>79821</v>
      </c>
      <c r="K134" s="16">
        <v>80000</v>
      </c>
      <c r="L134" s="16">
        <v>80000</v>
      </c>
      <c r="M134" s="16">
        <f>Posebni!F50+Posebni!F97+Posebni!F275+Posebni!F649</f>
        <v>45000</v>
      </c>
      <c r="N134" s="16">
        <f>Posebni!G50+Posebni!G97+Posebni!G275+Posebni!G649</f>
        <v>5972.5263786581718</v>
      </c>
      <c r="O134" s="16">
        <f>Posebni!I50+Posebni!I97+Posebni!I275+Posebni!I649</f>
        <v>23500</v>
      </c>
      <c r="P134" s="16" t="e">
        <f>Posebni!#REF!+Posebni!#REF!+Posebni!#REF!+Posebni!#REF!</f>
        <v>#REF!</v>
      </c>
      <c r="Q134" s="16">
        <f>Posebni!J50+Posebni!J97+Posebni!J275+Posebni!J649</f>
        <v>23500</v>
      </c>
      <c r="R134" s="16">
        <f>Posebni!K50+Posebni!K97+Posebni!K275+Posebni!K649</f>
        <v>23500</v>
      </c>
      <c r="S134" s="48">
        <f t="shared" si="51"/>
        <v>100</v>
      </c>
      <c r="T134" s="694">
        <f t="shared" si="54"/>
        <v>100</v>
      </c>
    </row>
    <row r="135" spans="1:20" x14ac:dyDescent="0.2">
      <c r="A135" s="504" t="s">
        <v>475</v>
      </c>
      <c r="B135" s="358"/>
      <c r="C135" s="358"/>
      <c r="D135" s="358"/>
      <c r="E135" s="358"/>
      <c r="F135" s="358"/>
      <c r="G135" s="358"/>
      <c r="H135" s="25">
        <v>3294</v>
      </c>
      <c r="I135" s="15" t="s">
        <v>69</v>
      </c>
      <c r="J135" s="16">
        <v>2859</v>
      </c>
      <c r="K135" s="16">
        <v>4000</v>
      </c>
      <c r="L135" s="16">
        <v>4000</v>
      </c>
      <c r="M135" s="16">
        <f>Posebni!F98</f>
        <v>30000</v>
      </c>
      <c r="N135" s="16">
        <f>Posebni!G98</f>
        <v>3981.6842524387812</v>
      </c>
      <c r="O135" s="16">
        <f>Posebni!I98</f>
        <v>4000</v>
      </c>
      <c r="P135" s="16" t="e">
        <f>Posebni!#REF!</f>
        <v>#REF!</v>
      </c>
      <c r="Q135" s="16">
        <f>Posebni!J98</f>
        <v>4000</v>
      </c>
      <c r="R135" s="16">
        <f>Posebni!K98</f>
        <v>4000</v>
      </c>
      <c r="S135" s="48">
        <f t="shared" si="51"/>
        <v>100</v>
      </c>
      <c r="T135" s="694">
        <f t="shared" si="54"/>
        <v>100</v>
      </c>
    </row>
    <row r="136" spans="1:20" x14ac:dyDescent="0.2">
      <c r="A136" s="504" t="s">
        <v>477</v>
      </c>
      <c r="B136" s="358"/>
      <c r="C136" s="358"/>
      <c r="D136" s="358"/>
      <c r="E136" s="358"/>
      <c r="F136" s="358"/>
      <c r="G136" s="358"/>
      <c r="H136" s="25">
        <v>3295</v>
      </c>
      <c r="I136" s="15" t="s">
        <v>131</v>
      </c>
      <c r="J136" s="16">
        <v>1243</v>
      </c>
      <c r="K136" s="16">
        <v>4000</v>
      </c>
      <c r="L136" s="16">
        <v>4000</v>
      </c>
      <c r="M136" s="16">
        <f>Posebni!F51</f>
        <v>50000</v>
      </c>
      <c r="N136" s="16">
        <f>Posebni!G51</f>
        <v>6636.1404207313026</v>
      </c>
      <c r="O136" s="16">
        <f>Posebni!I51</f>
        <v>6000</v>
      </c>
      <c r="P136" s="16" t="e">
        <f>Posebni!#REF!</f>
        <v>#REF!</v>
      </c>
      <c r="Q136" s="16">
        <f>Posebni!J51</f>
        <v>7000</v>
      </c>
      <c r="R136" s="16">
        <f>Posebni!K51</f>
        <v>7000</v>
      </c>
      <c r="S136" s="48">
        <f t="shared" si="51"/>
        <v>116.66666666666667</v>
      </c>
      <c r="T136" s="694">
        <f t="shared" si="54"/>
        <v>100</v>
      </c>
    </row>
    <row r="137" spans="1:20" x14ac:dyDescent="0.2">
      <c r="A137" s="506" t="s">
        <v>477</v>
      </c>
      <c r="B137" s="362"/>
      <c r="C137" s="362"/>
      <c r="D137" s="362"/>
      <c r="E137" s="362"/>
      <c r="F137" s="362"/>
      <c r="G137" s="362"/>
      <c r="H137" s="35">
        <v>3299</v>
      </c>
      <c r="I137" s="36" t="s">
        <v>65</v>
      </c>
      <c r="J137" s="17">
        <v>28709</v>
      </c>
      <c r="K137" s="17">
        <v>24000</v>
      </c>
      <c r="L137" s="17">
        <v>24000</v>
      </c>
      <c r="M137" s="17">
        <f>Posebni!F52+Posebni!F276</f>
        <v>12000</v>
      </c>
      <c r="N137" s="17">
        <f>Posebni!G52+Posebni!G276</f>
        <v>1592.6737009755125</v>
      </c>
      <c r="O137" s="17">
        <f>Posebni!I52+Posebni!I276</f>
        <v>2500</v>
      </c>
      <c r="P137" s="17" t="e">
        <f>Posebni!#REF!+Posebni!#REF!</f>
        <v>#REF!</v>
      </c>
      <c r="Q137" s="17">
        <f>Posebni!J52+Posebni!J276</f>
        <v>2500</v>
      </c>
      <c r="R137" s="17">
        <f>Posebni!K52+Posebni!K276</f>
        <v>2500</v>
      </c>
      <c r="S137" s="48">
        <f t="shared" si="51"/>
        <v>100</v>
      </c>
      <c r="T137" s="694">
        <f t="shared" si="54"/>
        <v>100</v>
      </c>
    </row>
    <row r="138" spans="1:20" s="84" customFormat="1" x14ac:dyDescent="0.2">
      <c r="A138" s="505"/>
      <c r="B138" s="368"/>
      <c r="C138" s="368"/>
      <c r="D138" s="368"/>
      <c r="E138" s="368"/>
      <c r="F138" s="368"/>
      <c r="G138" s="368"/>
      <c r="H138" s="85">
        <v>34</v>
      </c>
      <c r="I138" s="86" t="s">
        <v>70</v>
      </c>
      <c r="J138" s="87">
        <f t="shared" ref="J138:P138" si="58">SUM(J139+J141)</f>
        <v>64117</v>
      </c>
      <c r="K138" s="87">
        <f t="shared" si="58"/>
        <v>21000</v>
      </c>
      <c r="L138" s="87">
        <f t="shared" si="58"/>
        <v>56000</v>
      </c>
      <c r="M138" s="87">
        <f t="shared" si="58"/>
        <v>35000</v>
      </c>
      <c r="N138" s="87">
        <f t="shared" si="58"/>
        <v>4645.2982945119111</v>
      </c>
      <c r="O138" s="87">
        <f t="shared" si="58"/>
        <v>4600</v>
      </c>
      <c r="P138" s="645" t="e">
        <f t="shared" si="58"/>
        <v>#REF!</v>
      </c>
      <c r="Q138" s="87">
        <f>SUM(Q139+Q141)</f>
        <v>5000</v>
      </c>
      <c r="R138" s="87">
        <f>SUM(R139+R141)</f>
        <v>5500</v>
      </c>
      <c r="S138" s="81">
        <f t="shared" si="51"/>
        <v>108.69565217391303</v>
      </c>
      <c r="T138" s="693">
        <f t="shared" si="54"/>
        <v>110.00000000000001</v>
      </c>
    </row>
    <row r="139" spans="1:20" s="1" customFormat="1" x14ac:dyDescent="0.2">
      <c r="A139" s="504"/>
      <c r="B139" s="358"/>
      <c r="C139" s="358"/>
      <c r="D139" s="358"/>
      <c r="E139" s="358"/>
      <c r="F139" s="358"/>
      <c r="G139" s="358"/>
      <c r="H139" s="24">
        <v>342</v>
      </c>
      <c r="I139" s="8" t="s">
        <v>145</v>
      </c>
      <c r="J139" s="12">
        <f t="shared" ref="J139:R139" si="59">SUM(J140)</f>
        <v>44812</v>
      </c>
      <c r="K139" s="12">
        <f t="shared" si="59"/>
        <v>5000</v>
      </c>
      <c r="L139" s="12">
        <f t="shared" si="59"/>
        <v>40000</v>
      </c>
      <c r="M139" s="12">
        <f t="shared" si="59"/>
        <v>0</v>
      </c>
      <c r="N139" s="12">
        <f t="shared" si="59"/>
        <v>0</v>
      </c>
      <c r="O139" s="12">
        <f t="shared" si="59"/>
        <v>0</v>
      </c>
      <c r="P139" s="624">
        <f t="shared" si="59"/>
        <v>0</v>
      </c>
      <c r="Q139" s="12">
        <f t="shared" si="59"/>
        <v>0</v>
      </c>
      <c r="R139" s="12">
        <f t="shared" si="59"/>
        <v>0</v>
      </c>
      <c r="S139" s="48">
        <v>0</v>
      </c>
      <c r="T139" s="694">
        <v>0</v>
      </c>
    </row>
    <row r="140" spans="1:20" s="2" customFormat="1" ht="22.5" x14ac:dyDescent="0.2">
      <c r="A140" s="504" t="s">
        <v>477</v>
      </c>
      <c r="B140" s="358"/>
      <c r="C140" s="358"/>
      <c r="D140" s="358"/>
      <c r="E140" s="358"/>
      <c r="F140" s="358"/>
      <c r="G140" s="358"/>
      <c r="H140" s="25">
        <v>3423</v>
      </c>
      <c r="I140" s="15" t="s">
        <v>146</v>
      </c>
      <c r="J140" s="16">
        <v>44812</v>
      </c>
      <c r="K140" s="16">
        <v>5000</v>
      </c>
      <c r="L140" s="16">
        <v>40000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48">
        <v>0</v>
      </c>
      <c r="T140" s="694">
        <v>0</v>
      </c>
    </row>
    <row r="141" spans="1:20" s="1" customFormat="1" x14ac:dyDescent="0.2">
      <c r="A141" s="504"/>
      <c r="B141" s="358"/>
      <c r="C141" s="358"/>
      <c r="D141" s="358"/>
      <c r="E141" s="358"/>
      <c r="F141" s="358"/>
      <c r="G141" s="358"/>
      <c r="H141" s="24">
        <v>343</v>
      </c>
      <c r="I141" s="8" t="s">
        <v>71</v>
      </c>
      <c r="J141" s="12">
        <f t="shared" ref="J141:P141" si="60">SUM(J142:J144)</f>
        <v>19305</v>
      </c>
      <c r="K141" s="12">
        <f t="shared" si="60"/>
        <v>16000</v>
      </c>
      <c r="L141" s="12">
        <f t="shared" si="60"/>
        <v>16000</v>
      </c>
      <c r="M141" s="12">
        <f t="shared" si="60"/>
        <v>35000</v>
      </c>
      <c r="N141" s="12">
        <f t="shared" si="60"/>
        <v>4645.2982945119111</v>
      </c>
      <c r="O141" s="12">
        <f t="shared" si="60"/>
        <v>4600</v>
      </c>
      <c r="P141" s="624" t="e">
        <f t="shared" si="60"/>
        <v>#REF!</v>
      </c>
      <c r="Q141" s="12">
        <f>SUM(Q142:Q144)</f>
        <v>5000</v>
      </c>
      <c r="R141" s="12">
        <f>SUM(R142:R144)</f>
        <v>5500</v>
      </c>
      <c r="S141" s="48">
        <f t="shared" ref="S141:S150" si="61">Q141/O141*100</f>
        <v>108.69565217391303</v>
      </c>
      <c r="T141" s="694">
        <f t="shared" ref="T141:T150" si="62">R141/Q141*100</f>
        <v>110.00000000000001</v>
      </c>
    </row>
    <row r="142" spans="1:20" x14ac:dyDescent="0.2">
      <c r="A142" s="504" t="s">
        <v>477</v>
      </c>
      <c r="B142" s="358"/>
      <c r="C142" s="358"/>
      <c r="D142" s="358"/>
      <c r="E142" s="358"/>
      <c r="F142" s="358"/>
      <c r="G142" s="358"/>
      <c r="H142" s="25">
        <v>3431</v>
      </c>
      <c r="I142" s="15" t="s">
        <v>147</v>
      </c>
      <c r="J142" s="16">
        <v>17392</v>
      </c>
      <c r="K142" s="16">
        <v>11000</v>
      </c>
      <c r="L142" s="16">
        <v>11000</v>
      </c>
      <c r="M142" s="16">
        <f>Posebni!F55</f>
        <v>20000</v>
      </c>
      <c r="N142" s="16">
        <f>Posebni!G55</f>
        <v>2654.4561682925209</v>
      </c>
      <c r="O142" s="16">
        <f>Posebni!I55</f>
        <v>2500</v>
      </c>
      <c r="P142" s="16" t="e">
        <f>Posebni!#REF!</f>
        <v>#REF!</v>
      </c>
      <c r="Q142" s="16">
        <f>Posebni!J55</f>
        <v>3000</v>
      </c>
      <c r="R142" s="16">
        <f>Posebni!K55</f>
        <v>3500</v>
      </c>
      <c r="S142" s="48">
        <f t="shared" si="61"/>
        <v>120</v>
      </c>
      <c r="T142" s="694">
        <f t="shared" si="62"/>
        <v>116.66666666666667</v>
      </c>
    </row>
    <row r="143" spans="1:20" x14ac:dyDescent="0.2">
      <c r="A143" s="504" t="s">
        <v>477</v>
      </c>
      <c r="B143" s="358"/>
      <c r="C143" s="358"/>
      <c r="D143" s="358"/>
      <c r="E143" s="358"/>
      <c r="F143" s="358"/>
      <c r="G143" s="358"/>
      <c r="H143" s="25">
        <v>3433</v>
      </c>
      <c r="I143" s="15" t="s">
        <v>144</v>
      </c>
      <c r="J143" s="16">
        <v>3</v>
      </c>
      <c r="K143" s="16">
        <v>1000</v>
      </c>
      <c r="L143" s="16">
        <v>1000</v>
      </c>
      <c r="M143" s="16">
        <f>Posebni!F56</f>
        <v>10000</v>
      </c>
      <c r="N143" s="16">
        <f>Posebni!G56</f>
        <v>1327.2280841462605</v>
      </c>
      <c r="O143" s="16">
        <f>Posebni!I56</f>
        <v>1400</v>
      </c>
      <c r="P143" s="16" t="e">
        <f>Posebni!#REF!</f>
        <v>#REF!</v>
      </c>
      <c r="Q143" s="16">
        <f>Posebni!J56</f>
        <v>1000</v>
      </c>
      <c r="R143" s="16">
        <f>Posebni!K56</f>
        <v>1000</v>
      </c>
      <c r="S143" s="48">
        <f t="shared" si="61"/>
        <v>71.428571428571431</v>
      </c>
      <c r="T143" s="694">
        <f t="shared" si="62"/>
        <v>100</v>
      </c>
    </row>
    <row r="144" spans="1:20" x14ac:dyDescent="0.2">
      <c r="A144" s="504" t="s">
        <v>477</v>
      </c>
      <c r="B144" s="358"/>
      <c r="C144" s="358"/>
      <c r="D144" s="358"/>
      <c r="E144" s="358"/>
      <c r="F144" s="358"/>
      <c r="G144" s="358"/>
      <c r="H144" s="25">
        <v>3434</v>
      </c>
      <c r="I144" s="15" t="s">
        <v>74</v>
      </c>
      <c r="J144" s="16">
        <v>1910</v>
      </c>
      <c r="K144" s="16">
        <v>4000</v>
      </c>
      <c r="L144" s="16">
        <v>4000</v>
      </c>
      <c r="M144" s="16">
        <f>Posebni!F57</f>
        <v>5000</v>
      </c>
      <c r="N144" s="16">
        <f>Posebni!G57</f>
        <v>663.61404207313024</v>
      </c>
      <c r="O144" s="16">
        <f>Posebni!I57</f>
        <v>700</v>
      </c>
      <c r="P144" s="16" t="e">
        <f>Posebni!#REF!</f>
        <v>#REF!</v>
      </c>
      <c r="Q144" s="16">
        <f>Posebni!J57</f>
        <v>1000</v>
      </c>
      <c r="R144" s="16">
        <f>Posebni!K57</f>
        <v>1000</v>
      </c>
      <c r="S144" s="48">
        <f t="shared" si="61"/>
        <v>142.85714285714286</v>
      </c>
      <c r="T144" s="694">
        <f t="shared" si="62"/>
        <v>100</v>
      </c>
    </row>
    <row r="145" spans="1:20" s="84" customFormat="1" x14ac:dyDescent="0.2">
      <c r="A145" s="505"/>
      <c r="B145" s="368"/>
      <c r="C145" s="368"/>
      <c r="D145" s="368"/>
      <c r="E145" s="368"/>
      <c r="F145" s="368"/>
      <c r="G145" s="368"/>
      <c r="H145" s="85">
        <v>35</v>
      </c>
      <c r="I145" s="86" t="s">
        <v>75</v>
      </c>
      <c r="J145" s="87">
        <f t="shared" ref="J145:R145" si="63">SUM(J146)</f>
        <v>0</v>
      </c>
      <c r="K145" s="87">
        <f t="shared" si="63"/>
        <v>0</v>
      </c>
      <c r="L145" s="87">
        <f t="shared" si="63"/>
        <v>0</v>
      </c>
      <c r="M145" s="87" t="e">
        <f t="shared" si="63"/>
        <v>#REF!</v>
      </c>
      <c r="N145" s="87" t="e">
        <f t="shared" si="63"/>
        <v>#REF!</v>
      </c>
      <c r="O145" s="87">
        <f t="shared" si="63"/>
        <v>30000</v>
      </c>
      <c r="P145" s="645" t="e">
        <f t="shared" si="63"/>
        <v>#REF!</v>
      </c>
      <c r="Q145" s="87">
        <f t="shared" si="63"/>
        <v>30000</v>
      </c>
      <c r="R145" s="87">
        <f t="shared" si="63"/>
        <v>30000</v>
      </c>
      <c r="S145" s="81">
        <f t="shared" si="61"/>
        <v>100</v>
      </c>
      <c r="T145" s="693">
        <f t="shared" si="62"/>
        <v>100</v>
      </c>
    </row>
    <row r="146" spans="1:20" s="1" customFormat="1" ht="22.5" x14ac:dyDescent="0.2">
      <c r="A146" s="504"/>
      <c r="B146" s="358"/>
      <c r="C146" s="358"/>
      <c r="D146" s="358"/>
      <c r="E146" s="358"/>
      <c r="F146" s="358"/>
      <c r="G146" s="358"/>
      <c r="H146" s="24">
        <v>352</v>
      </c>
      <c r="I146" s="8" t="s">
        <v>155</v>
      </c>
      <c r="J146" s="12">
        <f>SUM(J148)</f>
        <v>0</v>
      </c>
      <c r="K146" s="12">
        <f>SUM(K148)</f>
        <v>0</v>
      </c>
      <c r="L146" s="12">
        <f>SUM(L148)</f>
        <v>0</v>
      </c>
      <c r="M146" s="12" t="e">
        <f t="shared" ref="M146:R146" si="64">SUM(M147+M148)</f>
        <v>#REF!</v>
      </c>
      <c r="N146" s="12" t="e">
        <f t="shared" si="64"/>
        <v>#REF!</v>
      </c>
      <c r="O146" s="12">
        <f t="shared" si="64"/>
        <v>30000</v>
      </c>
      <c r="P146" s="624" t="e">
        <f t="shared" si="64"/>
        <v>#REF!</v>
      </c>
      <c r="Q146" s="12">
        <f t="shared" si="64"/>
        <v>30000</v>
      </c>
      <c r="R146" s="12">
        <f t="shared" si="64"/>
        <v>30000</v>
      </c>
      <c r="S146" s="48">
        <f t="shared" si="61"/>
        <v>100</v>
      </c>
      <c r="T146" s="694">
        <f t="shared" si="62"/>
        <v>100</v>
      </c>
    </row>
    <row r="147" spans="1:20" s="1" customFormat="1" ht="22.5" x14ac:dyDescent="0.2">
      <c r="A147" s="504" t="s">
        <v>477</v>
      </c>
      <c r="B147" s="358"/>
      <c r="C147" s="358"/>
      <c r="D147" s="358"/>
      <c r="E147" s="358"/>
      <c r="F147" s="358"/>
      <c r="G147" s="358"/>
      <c r="H147" s="27">
        <v>3522</v>
      </c>
      <c r="I147" s="10" t="s">
        <v>381</v>
      </c>
      <c r="J147" s="12"/>
      <c r="K147" s="12"/>
      <c r="L147" s="12"/>
      <c r="M147" s="11">
        <f>Posebni!F119</f>
        <v>100000</v>
      </c>
      <c r="N147" s="11">
        <f>Posebni!G119</f>
        <v>13272.280841462605</v>
      </c>
      <c r="O147" s="16">
        <f>Posebni!I119</f>
        <v>15000</v>
      </c>
      <c r="P147" s="16" t="e">
        <f>Posebni!#REF!</f>
        <v>#REF!</v>
      </c>
      <c r="Q147" s="16">
        <f>Posebni!J119</f>
        <v>15000</v>
      </c>
      <c r="R147" s="16">
        <f>Posebni!K119</f>
        <v>15000</v>
      </c>
      <c r="S147" s="48">
        <f t="shared" si="61"/>
        <v>100</v>
      </c>
      <c r="T147" s="694">
        <f t="shared" si="62"/>
        <v>100</v>
      </c>
    </row>
    <row r="148" spans="1:20" ht="22.5" x14ac:dyDescent="0.2">
      <c r="A148" s="504" t="s">
        <v>477</v>
      </c>
      <c r="B148" s="358"/>
      <c r="C148" s="358"/>
      <c r="D148" s="358"/>
      <c r="E148" s="358"/>
      <c r="F148" s="358"/>
      <c r="G148" s="358"/>
      <c r="H148" s="25">
        <v>3523</v>
      </c>
      <c r="I148" s="15" t="s">
        <v>76</v>
      </c>
      <c r="J148" s="16">
        <v>0</v>
      </c>
      <c r="K148" s="16">
        <v>0</v>
      </c>
      <c r="L148" s="16">
        <v>0</v>
      </c>
      <c r="M148" s="16" t="e">
        <f>Posebni!F125+Posebni!#REF!</f>
        <v>#REF!</v>
      </c>
      <c r="N148" s="16" t="e">
        <f>Posebni!G125+Posebni!#REF!</f>
        <v>#REF!</v>
      </c>
      <c r="O148" s="16">
        <f>Posebni!I125</f>
        <v>15000</v>
      </c>
      <c r="P148" s="16" t="e">
        <f>Posebni!#REF!</f>
        <v>#REF!</v>
      </c>
      <c r="Q148" s="16">
        <f>Posebni!J125</f>
        <v>15000</v>
      </c>
      <c r="R148" s="16">
        <f>Posebni!K125</f>
        <v>15000</v>
      </c>
      <c r="S148" s="48">
        <f t="shared" si="61"/>
        <v>100</v>
      </c>
      <c r="T148" s="694">
        <f t="shared" si="62"/>
        <v>100</v>
      </c>
    </row>
    <row r="149" spans="1:20" s="84" customFormat="1" ht="22.5" x14ac:dyDescent="0.2">
      <c r="A149" s="505"/>
      <c r="B149" s="368"/>
      <c r="C149" s="368"/>
      <c r="D149" s="368"/>
      <c r="E149" s="368"/>
      <c r="F149" s="368"/>
      <c r="G149" s="368"/>
      <c r="H149" s="85">
        <v>36</v>
      </c>
      <c r="I149" s="86" t="s">
        <v>136</v>
      </c>
      <c r="J149" s="87">
        <f t="shared" ref="J149:R149" si="65">SUM(J150)</f>
        <v>0</v>
      </c>
      <c r="K149" s="87">
        <f t="shared" si="65"/>
        <v>15000</v>
      </c>
      <c r="L149" s="87">
        <f t="shared" si="65"/>
        <v>50000</v>
      </c>
      <c r="M149" s="87" t="e">
        <f t="shared" si="65"/>
        <v>#REF!</v>
      </c>
      <c r="N149" s="87" t="e">
        <f t="shared" si="65"/>
        <v>#REF!</v>
      </c>
      <c r="O149" s="87">
        <f t="shared" si="65"/>
        <v>0</v>
      </c>
      <c r="P149" s="645">
        <f t="shared" si="65"/>
        <v>0</v>
      </c>
      <c r="Q149" s="87">
        <f t="shared" si="65"/>
        <v>0</v>
      </c>
      <c r="R149" s="87">
        <f t="shared" si="65"/>
        <v>0</v>
      </c>
      <c r="S149" s="81" t="e">
        <f t="shared" si="61"/>
        <v>#DIV/0!</v>
      </c>
      <c r="T149" s="693" t="e">
        <f t="shared" si="62"/>
        <v>#DIV/0!</v>
      </c>
    </row>
    <row r="150" spans="1:20" s="1" customFormat="1" ht="22.5" x14ac:dyDescent="0.2">
      <c r="A150" s="504"/>
      <c r="B150" s="358"/>
      <c r="C150" s="358"/>
      <c r="D150" s="358" t="s">
        <v>363</v>
      </c>
      <c r="E150" s="358" t="s">
        <v>364</v>
      </c>
      <c r="F150" s="358"/>
      <c r="G150" s="358"/>
      <c r="H150" s="879">
        <v>363</v>
      </c>
      <c r="I150" s="8" t="s">
        <v>633</v>
      </c>
      <c r="J150" s="12">
        <f t="shared" ref="J150:P150" si="66">SUM(J151:J152)</f>
        <v>0</v>
      </c>
      <c r="K150" s="12">
        <f t="shared" si="66"/>
        <v>15000</v>
      </c>
      <c r="L150" s="12">
        <f t="shared" si="66"/>
        <v>50000</v>
      </c>
      <c r="M150" s="12" t="e">
        <f t="shared" si="66"/>
        <v>#REF!</v>
      </c>
      <c r="N150" s="12" t="e">
        <f t="shared" si="66"/>
        <v>#REF!</v>
      </c>
      <c r="O150" s="12">
        <f t="shared" si="66"/>
        <v>0</v>
      </c>
      <c r="P150" s="624">
        <f t="shared" si="66"/>
        <v>0</v>
      </c>
      <c r="Q150" s="12">
        <f>SUM(Q151:Q152)</f>
        <v>0</v>
      </c>
      <c r="R150" s="12">
        <f>SUM(R151:R152)</f>
        <v>0</v>
      </c>
      <c r="S150" s="48" t="e">
        <f t="shared" si="61"/>
        <v>#DIV/0!</v>
      </c>
      <c r="T150" s="694" t="e">
        <f t="shared" si="62"/>
        <v>#DIV/0!</v>
      </c>
    </row>
    <row r="151" spans="1:20" ht="22.5" x14ac:dyDescent="0.2">
      <c r="A151" s="504"/>
      <c r="B151" s="358"/>
      <c r="C151" s="358"/>
      <c r="D151" s="358"/>
      <c r="E151" s="358"/>
      <c r="F151" s="358"/>
      <c r="G151" s="358"/>
      <c r="H151" s="880">
        <v>3631</v>
      </c>
      <c r="I151" s="15" t="s">
        <v>634</v>
      </c>
      <c r="J151" s="16">
        <v>0</v>
      </c>
      <c r="K151" s="16">
        <v>5000</v>
      </c>
      <c r="L151" s="16">
        <v>40000</v>
      </c>
      <c r="M151" s="16" t="e">
        <f>Posebni!#REF!</f>
        <v>#REF!</v>
      </c>
      <c r="N151" s="16" t="e">
        <f>Posebni!#REF!</f>
        <v>#REF!</v>
      </c>
      <c r="O151" s="16">
        <v>0</v>
      </c>
      <c r="P151" s="16">
        <v>0</v>
      </c>
      <c r="Q151" s="16">
        <v>0</v>
      </c>
      <c r="R151" s="16">
        <v>0</v>
      </c>
      <c r="S151" s="48">
        <v>0</v>
      </c>
      <c r="T151" s="694">
        <v>0</v>
      </c>
    </row>
    <row r="152" spans="1:20" ht="22.5" x14ac:dyDescent="0.2">
      <c r="A152" s="504"/>
      <c r="B152" s="358"/>
      <c r="C152" s="358"/>
      <c r="D152" s="358"/>
      <c r="E152" s="358"/>
      <c r="F152" s="358"/>
      <c r="G152" s="358"/>
      <c r="H152" s="880">
        <v>3632</v>
      </c>
      <c r="I152" s="15" t="s">
        <v>635</v>
      </c>
      <c r="J152" s="16">
        <v>0</v>
      </c>
      <c r="K152" s="16">
        <v>10000</v>
      </c>
      <c r="L152" s="16">
        <v>10000</v>
      </c>
      <c r="M152" s="16" t="e">
        <f>Posebni!F213+Posebni!#REF!</f>
        <v>#REF!</v>
      </c>
      <c r="N152" s="16" t="e">
        <f>Posebni!G213+Posebni!#REF!</f>
        <v>#REF!</v>
      </c>
      <c r="O152" s="16">
        <v>0</v>
      </c>
      <c r="P152" s="16">
        <v>0</v>
      </c>
      <c r="Q152" s="16">
        <v>0</v>
      </c>
      <c r="R152" s="16">
        <v>0</v>
      </c>
      <c r="S152" s="48" t="e">
        <f t="shared" ref="S152:S164" si="67">Q152/O152*100</f>
        <v>#DIV/0!</v>
      </c>
      <c r="T152" s="694" t="e">
        <f t="shared" ref="T152:T164" si="68">R152/Q152*100</f>
        <v>#DIV/0!</v>
      </c>
    </row>
    <row r="153" spans="1:20" s="84" customFormat="1" ht="22.5" x14ac:dyDescent="0.2">
      <c r="A153" s="505"/>
      <c r="B153" s="368"/>
      <c r="C153" s="368"/>
      <c r="D153" s="368"/>
      <c r="E153" s="368"/>
      <c r="F153" s="368"/>
      <c r="G153" s="368"/>
      <c r="H153" s="85">
        <v>37</v>
      </c>
      <c r="I153" s="86" t="s">
        <v>138</v>
      </c>
      <c r="J153" s="87">
        <f t="shared" ref="J153:R153" si="69">SUM(J154)</f>
        <v>422126</v>
      </c>
      <c r="K153" s="87">
        <f t="shared" si="69"/>
        <v>340000</v>
      </c>
      <c r="L153" s="87">
        <f t="shared" si="69"/>
        <v>453000</v>
      </c>
      <c r="M153" s="87" t="e">
        <f t="shared" si="69"/>
        <v>#REF!</v>
      </c>
      <c r="N153" s="87" t="e">
        <f t="shared" si="69"/>
        <v>#REF!</v>
      </c>
      <c r="O153" s="87">
        <f t="shared" si="69"/>
        <v>355000</v>
      </c>
      <c r="P153" s="645" t="e">
        <f t="shared" si="69"/>
        <v>#REF!</v>
      </c>
      <c r="Q153" s="87">
        <f t="shared" si="69"/>
        <v>355500</v>
      </c>
      <c r="R153" s="87">
        <f t="shared" si="69"/>
        <v>355500</v>
      </c>
      <c r="S153" s="81">
        <f t="shared" si="67"/>
        <v>100.14084507042253</v>
      </c>
      <c r="T153" s="693">
        <f t="shared" si="68"/>
        <v>100</v>
      </c>
    </row>
    <row r="154" spans="1:20" s="1" customFormat="1" x14ac:dyDescent="0.2">
      <c r="A154" s="504"/>
      <c r="B154" s="358"/>
      <c r="C154" s="358"/>
      <c r="D154" s="358"/>
      <c r="E154" s="358"/>
      <c r="F154" s="358"/>
      <c r="G154" s="358"/>
      <c r="H154" s="24">
        <v>372</v>
      </c>
      <c r="I154" s="8" t="s">
        <v>156</v>
      </c>
      <c r="J154" s="12">
        <f t="shared" ref="J154:P154" si="70">SUM(J155:J156)</f>
        <v>422126</v>
      </c>
      <c r="K154" s="12">
        <f t="shared" si="70"/>
        <v>340000</v>
      </c>
      <c r="L154" s="12">
        <f t="shared" si="70"/>
        <v>453000</v>
      </c>
      <c r="M154" s="12" t="e">
        <f t="shared" si="70"/>
        <v>#REF!</v>
      </c>
      <c r="N154" s="12" t="e">
        <f t="shared" si="70"/>
        <v>#REF!</v>
      </c>
      <c r="O154" s="12">
        <f t="shared" si="70"/>
        <v>355000</v>
      </c>
      <c r="P154" s="624" t="e">
        <f t="shared" si="70"/>
        <v>#REF!</v>
      </c>
      <c r="Q154" s="12">
        <f>SUM(Q155:Q156)</f>
        <v>355500</v>
      </c>
      <c r="R154" s="12">
        <f>SUM(R155:R156)</f>
        <v>355500</v>
      </c>
      <c r="S154" s="48">
        <f t="shared" si="67"/>
        <v>100.14084507042253</v>
      </c>
      <c r="T154" s="694">
        <f t="shared" si="68"/>
        <v>100</v>
      </c>
    </row>
    <row r="155" spans="1:20" x14ac:dyDescent="0.2">
      <c r="A155" s="504" t="s">
        <v>477</v>
      </c>
      <c r="B155" s="358"/>
      <c r="C155" s="358"/>
      <c r="D155" s="358"/>
      <c r="E155" s="358"/>
      <c r="F155" s="358"/>
      <c r="G155" s="358"/>
      <c r="H155" s="25">
        <v>3721</v>
      </c>
      <c r="I155" s="15" t="s">
        <v>78</v>
      </c>
      <c r="J155" s="16">
        <v>347075</v>
      </c>
      <c r="K155" s="16">
        <v>320000</v>
      </c>
      <c r="L155" s="16">
        <v>450000</v>
      </c>
      <c r="M155" s="16" t="e">
        <f>Posebni!F172+Posebni!F180+Posebni!F173+Posebni!F181+Posebni!F182+Posebni!#REF!</f>
        <v>#REF!</v>
      </c>
      <c r="N155" s="16" t="e">
        <f>Posebni!G172+Posebni!G180+Posebni!G173+Posebni!G181+Posebni!G182+Posebni!#REF!</f>
        <v>#REF!</v>
      </c>
      <c r="O155" s="16">
        <f>Posebni!I172+Posebni!I180+Posebni!I173+Posebni!I181+Posebni!I182</f>
        <v>125000</v>
      </c>
      <c r="P155" s="16" t="e">
        <f>Posebni!#REF!+Posebni!#REF!+Posebni!#REF!+Posebni!#REF!+Posebni!#REF!</f>
        <v>#REF!</v>
      </c>
      <c r="Q155" s="16">
        <f>Posebni!J172+Posebni!J180+Posebni!J173+Posebni!J181+Posebni!J182</f>
        <v>125000</v>
      </c>
      <c r="R155" s="16">
        <f>Posebni!K172+Posebni!K180+Posebni!K173+Posebni!K181+Posebni!K182</f>
        <v>125000</v>
      </c>
      <c r="S155" s="48">
        <f t="shared" si="67"/>
        <v>100</v>
      </c>
      <c r="T155" s="694">
        <f t="shared" si="68"/>
        <v>100</v>
      </c>
    </row>
    <row r="156" spans="1:20" x14ac:dyDescent="0.2">
      <c r="A156" s="504" t="s">
        <v>477</v>
      </c>
      <c r="B156" s="358"/>
      <c r="C156" s="358"/>
      <c r="D156" s="358"/>
      <c r="E156" s="358"/>
      <c r="F156" s="358"/>
      <c r="G156" s="358"/>
      <c r="H156" s="25">
        <v>3722</v>
      </c>
      <c r="I156" s="15" t="s">
        <v>79</v>
      </c>
      <c r="J156" s="16">
        <v>75051</v>
      </c>
      <c r="K156" s="16">
        <v>20000</v>
      </c>
      <c r="L156" s="16">
        <v>3000</v>
      </c>
      <c r="M156" s="16" t="e">
        <f>Posebni!F183+Posebni!#REF!+Posebni!F184+Posebni!F185+Posebni!F186+Posebni!F187+Posebni!F199</f>
        <v>#REF!</v>
      </c>
      <c r="N156" s="16" t="e">
        <f>Posebni!G183+Posebni!#REF!+Posebni!G184+Posebni!G185+Posebni!G186+Posebni!G187+Posebni!G199</f>
        <v>#REF!</v>
      </c>
      <c r="O156" s="16">
        <f>Posebni!I174+Posebni!I183+Posebni!I184+Posebni!I185+Posebni!I186+Posebni!I187+Posebni!I199</f>
        <v>230000</v>
      </c>
      <c r="P156" s="16" t="e">
        <f>Posebni!#REF!+Posebni!#REF!+Posebni!#REF!+Posebni!#REF!+Posebni!#REF!+Posebni!#REF!+Posebni!#REF!</f>
        <v>#REF!</v>
      </c>
      <c r="Q156" s="16">
        <f>Posebni!J174+Posebni!J183+Posebni!J184+Posebni!J185+Posebni!J186+Posebni!J187+Posebni!J199</f>
        <v>230500</v>
      </c>
      <c r="R156" s="16">
        <f>Posebni!K174+Posebni!K183+Posebni!K184+Posebni!K185+Posebni!K186+Posebni!K187+Posebni!K199</f>
        <v>230500</v>
      </c>
      <c r="S156" s="48">
        <f t="shared" si="67"/>
        <v>100.21739130434784</v>
      </c>
      <c r="T156" s="694">
        <f t="shared" si="68"/>
        <v>100</v>
      </c>
    </row>
    <row r="157" spans="1:20" s="84" customFormat="1" x14ac:dyDescent="0.2">
      <c r="A157" s="505"/>
      <c r="B157" s="368"/>
      <c r="C157" s="368"/>
      <c r="D157" s="368"/>
      <c r="E157" s="368"/>
      <c r="F157" s="368"/>
      <c r="G157" s="368"/>
      <c r="H157" s="85">
        <v>38</v>
      </c>
      <c r="I157" s="86" t="s">
        <v>128</v>
      </c>
      <c r="J157" s="87" t="e">
        <f t="shared" ref="J157:P157" si="71">SUM(J158+J161+J163+J165+J168+J170)</f>
        <v>#REF!</v>
      </c>
      <c r="K157" s="87" t="e">
        <f t="shared" si="71"/>
        <v>#REF!</v>
      </c>
      <c r="L157" s="87" t="e">
        <f t="shared" si="71"/>
        <v>#REF!</v>
      </c>
      <c r="M157" s="87">
        <f t="shared" si="71"/>
        <v>1138000</v>
      </c>
      <c r="N157" s="87">
        <f t="shared" si="71"/>
        <v>151038.55597584444</v>
      </c>
      <c r="O157" s="87">
        <f t="shared" si="71"/>
        <v>417200</v>
      </c>
      <c r="P157" s="645" t="e">
        <f t="shared" si="71"/>
        <v>#REF!</v>
      </c>
      <c r="Q157" s="87">
        <f>SUM(Q158+Q161+Q163+Q165+Q168+Q170)</f>
        <v>402500</v>
      </c>
      <c r="R157" s="87">
        <f>SUM(R158+R161+R163+R165+R168+R170)</f>
        <v>403500</v>
      </c>
      <c r="S157" s="81">
        <f t="shared" si="67"/>
        <v>96.476510067114091</v>
      </c>
      <c r="T157" s="693">
        <f t="shared" si="68"/>
        <v>100.24844720496895</v>
      </c>
    </row>
    <row r="158" spans="1:20" s="1" customFormat="1" x14ac:dyDescent="0.2">
      <c r="A158" s="504"/>
      <c r="B158" s="358"/>
      <c r="C158" s="358"/>
      <c r="D158" s="358"/>
      <c r="E158" s="358"/>
      <c r="F158" s="358"/>
      <c r="G158" s="358"/>
      <c r="H158" s="24">
        <v>381</v>
      </c>
      <c r="I158" s="8" t="s">
        <v>37</v>
      </c>
      <c r="J158" s="12" t="e">
        <f t="shared" ref="J158:P158" si="72">SUM(J159+J160)</f>
        <v>#REF!</v>
      </c>
      <c r="K158" s="12" t="e">
        <f t="shared" si="72"/>
        <v>#REF!</v>
      </c>
      <c r="L158" s="12" t="e">
        <f t="shared" si="72"/>
        <v>#REF!</v>
      </c>
      <c r="M158" s="12">
        <f t="shared" si="72"/>
        <v>893000</v>
      </c>
      <c r="N158" s="12">
        <f t="shared" si="72"/>
        <v>118521.46791426107</v>
      </c>
      <c r="O158" s="12">
        <f t="shared" si="72"/>
        <v>184200</v>
      </c>
      <c r="P158" s="624" t="e">
        <f t="shared" si="72"/>
        <v>#REF!</v>
      </c>
      <c r="Q158" s="12">
        <f>SUM(Q159+Q160)</f>
        <v>179500</v>
      </c>
      <c r="R158" s="12">
        <f>SUM(R159+R160)</f>
        <v>180500</v>
      </c>
      <c r="S158" s="48">
        <f t="shared" si="67"/>
        <v>97.448425624321388</v>
      </c>
      <c r="T158" s="694">
        <f t="shared" si="68"/>
        <v>100.55710306406684</v>
      </c>
    </row>
    <row r="159" spans="1:20" s="42" customFormat="1" x14ac:dyDescent="0.2">
      <c r="A159" s="504" t="s">
        <v>477</v>
      </c>
      <c r="B159" s="358"/>
      <c r="C159" s="358"/>
      <c r="D159" s="358"/>
      <c r="E159" s="358"/>
      <c r="F159" s="358"/>
      <c r="G159" s="358"/>
      <c r="H159" s="27">
        <v>3811</v>
      </c>
      <c r="I159" s="10" t="s">
        <v>81</v>
      </c>
      <c r="J159" s="11" t="e">
        <f>SUM(#REF!)</f>
        <v>#REF!</v>
      </c>
      <c r="K159" s="11" t="e">
        <f>SUM(#REF!)</f>
        <v>#REF!</v>
      </c>
      <c r="L159" s="11" t="e">
        <f>SUM(#REF!)</f>
        <v>#REF!</v>
      </c>
      <c r="M159" s="11">
        <f>Posebni!F112+Posebni!F139+Posebni!F147+Posebni!F193+Posebni!F226+Posebni!F238+Posebni!F259+Posebni!F266+Posebni!F283+Posebni!F292+Posebni!F298</f>
        <v>868000</v>
      </c>
      <c r="N159" s="11">
        <f>Posebni!G112+Posebni!G139+Posebni!G147+Posebni!G193+Posebni!G226+Posebni!G238+Posebni!G259+Posebni!G266+Posebni!G283+Posebni!G292+Posebni!G298</f>
        <v>115203.39770389542</v>
      </c>
      <c r="O159" s="16">
        <f>Posebni!I112+Posebni!I139+Posebni!I147+Posebni!I164+Posebni!I193+Posebni!I226+Posebni!I238+Posebni!I259+Posebni!I266+Posebni!I283+Posebni!I292+Posebni!I298+Posebni!I213</f>
        <v>180700</v>
      </c>
      <c r="P159" s="16" t="e">
        <f>Posebni!#REF!+Posebni!#REF!+Posebni!#REF!+Posebni!#REF!+Posebni!#REF!+Posebni!#REF!+Posebni!#REF!+Posebni!#REF!+Posebni!#REF!+Posebni!#REF!+Posebni!#REF!+Posebni!#REF!+Posebni!#REF!</f>
        <v>#REF!</v>
      </c>
      <c r="Q159" s="16">
        <f>Posebni!J112+Posebni!J139+Posebni!J147+Posebni!J164+Posebni!J193+Posebni!J226+Posebni!J238+Posebni!J259+Posebni!J266+Posebni!J283+Posebni!J292+Posebni!J298+Posebni!J213</f>
        <v>174500</v>
      </c>
      <c r="R159" s="16">
        <f>Posebni!K112+Posebni!K139+Posebni!K147+Posebni!K164+Posebni!K193+Posebni!K226+Posebni!K238+Posebni!K259+Posebni!K266+Posebni!K283+Posebni!K292+Posebni!K298+Posebni!K213</f>
        <v>175500</v>
      </c>
      <c r="S159" s="48">
        <f t="shared" si="67"/>
        <v>96.568898727172098</v>
      </c>
      <c r="T159" s="694">
        <f t="shared" si="68"/>
        <v>100.57306590257879</v>
      </c>
    </row>
    <row r="160" spans="1:20" s="42" customFormat="1" x14ac:dyDescent="0.2">
      <c r="A160" s="504" t="s">
        <v>477</v>
      </c>
      <c r="B160" s="358"/>
      <c r="C160" s="358"/>
      <c r="D160" s="358"/>
      <c r="E160" s="358"/>
      <c r="F160" s="358"/>
      <c r="G160" s="358"/>
      <c r="H160" s="27">
        <v>3812</v>
      </c>
      <c r="I160" s="10" t="s">
        <v>86</v>
      </c>
      <c r="J160" s="11">
        <v>4698</v>
      </c>
      <c r="K160" s="11">
        <v>5000</v>
      </c>
      <c r="L160" s="11">
        <v>5000</v>
      </c>
      <c r="M160" s="11">
        <f>Posebni!F140</f>
        <v>25000</v>
      </c>
      <c r="N160" s="11">
        <f>Posebni!G140</f>
        <v>3318.0702103656513</v>
      </c>
      <c r="O160" s="16">
        <f>Posebni!I140</f>
        <v>3500</v>
      </c>
      <c r="P160" s="16" t="e">
        <f>Posebni!#REF!</f>
        <v>#REF!</v>
      </c>
      <c r="Q160" s="16">
        <f>Posebni!J140</f>
        <v>5000</v>
      </c>
      <c r="R160" s="16">
        <f>Posebni!K140</f>
        <v>5000</v>
      </c>
      <c r="S160" s="48">
        <f t="shared" si="67"/>
        <v>142.85714285714286</v>
      </c>
      <c r="T160" s="694">
        <f t="shared" si="68"/>
        <v>100</v>
      </c>
    </row>
    <row r="161" spans="1:20" s="1" customFormat="1" x14ac:dyDescent="0.2">
      <c r="A161" s="504"/>
      <c r="B161" s="358"/>
      <c r="C161" s="358"/>
      <c r="D161" s="358"/>
      <c r="E161" s="358"/>
      <c r="F161" s="358"/>
      <c r="G161" s="358"/>
      <c r="H161" s="24">
        <v>382</v>
      </c>
      <c r="I161" s="8" t="s">
        <v>38</v>
      </c>
      <c r="J161" s="12">
        <f t="shared" ref="J161:R161" si="73">SUM(J162:J162)</f>
        <v>65000</v>
      </c>
      <c r="K161" s="12">
        <f t="shared" si="73"/>
        <v>100000</v>
      </c>
      <c r="L161" s="12">
        <f t="shared" si="73"/>
        <v>116000</v>
      </c>
      <c r="M161" s="12">
        <f t="shared" si="73"/>
        <v>25000</v>
      </c>
      <c r="N161" s="12">
        <f t="shared" si="73"/>
        <v>3318.0702103656513</v>
      </c>
      <c r="O161" s="12">
        <f t="shared" si="73"/>
        <v>20000</v>
      </c>
      <c r="P161" s="624" t="e">
        <f t="shared" si="73"/>
        <v>#REF!</v>
      </c>
      <c r="Q161" s="12">
        <f t="shared" si="73"/>
        <v>10000</v>
      </c>
      <c r="R161" s="12">
        <f t="shared" si="73"/>
        <v>10000</v>
      </c>
      <c r="S161" s="48">
        <f t="shared" si="67"/>
        <v>50</v>
      </c>
      <c r="T161" s="694">
        <f t="shared" si="68"/>
        <v>100</v>
      </c>
    </row>
    <row r="162" spans="1:20" x14ac:dyDescent="0.2">
      <c r="A162" s="504" t="s">
        <v>477</v>
      </c>
      <c r="B162" s="358"/>
      <c r="C162" s="358"/>
      <c r="D162" s="358"/>
      <c r="E162" s="358"/>
      <c r="F162" s="358"/>
      <c r="G162" s="358"/>
      <c r="H162" s="25">
        <v>3821</v>
      </c>
      <c r="I162" s="15" t="s">
        <v>87</v>
      </c>
      <c r="J162" s="16">
        <v>65000</v>
      </c>
      <c r="K162" s="16">
        <v>100000</v>
      </c>
      <c r="L162" s="16">
        <v>116000</v>
      </c>
      <c r="M162" s="16">
        <f>Posebni!F285</f>
        <v>25000</v>
      </c>
      <c r="N162" s="16">
        <f>Posebni!G285</f>
        <v>3318.0702103656513</v>
      </c>
      <c r="O162" s="16">
        <f>Posebni!I285</f>
        <v>20000</v>
      </c>
      <c r="P162" s="16" t="e">
        <f>Posebni!#REF!</f>
        <v>#REF!</v>
      </c>
      <c r="Q162" s="16">
        <f>Posebni!J285</f>
        <v>10000</v>
      </c>
      <c r="R162" s="16">
        <f>Posebni!K285</f>
        <v>10000</v>
      </c>
      <c r="S162" s="48">
        <f t="shared" si="67"/>
        <v>50</v>
      </c>
      <c r="T162" s="694">
        <f t="shared" si="68"/>
        <v>100</v>
      </c>
    </row>
    <row r="163" spans="1:20" s="1" customFormat="1" x14ac:dyDescent="0.2">
      <c r="A163" s="504"/>
      <c r="B163" s="358"/>
      <c r="C163" s="358"/>
      <c r="D163" s="358"/>
      <c r="E163" s="358" t="s">
        <v>364</v>
      </c>
      <c r="F163" s="358"/>
      <c r="G163" s="358"/>
      <c r="H163" s="24">
        <v>383</v>
      </c>
      <c r="I163" s="8" t="s">
        <v>89</v>
      </c>
      <c r="J163" s="12">
        <f t="shared" ref="J163:R163" si="74">SUM(J164)</f>
        <v>0</v>
      </c>
      <c r="K163" s="12">
        <f t="shared" si="74"/>
        <v>10000</v>
      </c>
      <c r="L163" s="12">
        <f t="shared" si="74"/>
        <v>121000</v>
      </c>
      <c r="M163" s="12">
        <f t="shared" si="74"/>
        <v>20000</v>
      </c>
      <c r="N163" s="12">
        <f t="shared" si="74"/>
        <v>2654.4561682925209</v>
      </c>
      <c r="O163" s="12">
        <f t="shared" si="74"/>
        <v>3000</v>
      </c>
      <c r="P163" s="624" t="e">
        <f t="shared" si="74"/>
        <v>#REF!</v>
      </c>
      <c r="Q163" s="12">
        <f t="shared" si="74"/>
        <v>3000</v>
      </c>
      <c r="R163" s="12">
        <f t="shared" si="74"/>
        <v>3000</v>
      </c>
      <c r="S163" s="48">
        <f t="shared" si="67"/>
        <v>100</v>
      </c>
      <c r="T163" s="694">
        <f t="shared" si="68"/>
        <v>100</v>
      </c>
    </row>
    <row r="164" spans="1:20" x14ac:dyDescent="0.2">
      <c r="A164" s="504" t="s">
        <v>477</v>
      </c>
      <c r="B164" s="358"/>
      <c r="C164" s="358"/>
      <c r="D164" s="358"/>
      <c r="E164" s="358"/>
      <c r="F164" s="358"/>
      <c r="G164" s="358"/>
      <c r="H164" s="25">
        <v>3831</v>
      </c>
      <c r="I164" s="15" t="s">
        <v>90</v>
      </c>
      <c r="J164" s="16">
        <v>0</v>
      </c>
      <c r="K164" s="16">
        <v>10000</v>
      </c>
      <c r="L164" s="16">
        <v>121000</v>
      </c>
      <c r="M164" s="16">
        <f>Posebni!F89</f>
        <v>20000</v>
      </c>
      <c r="N164" s="16">
        <f>Posebni!G89</f>
        <v>2654.4561682925209</v>
      </c>
      <c r="O164" s="16">
        <f>Posebni!I89</f>
        <v>3000</v>
      </c>
      <c r="P164" s="16" t="e">
        <f>Posebni!#REF!</f>
        <v>#REF!</v>
      </c>
      <c r="Q164" s="16">
        <f>Posebni!J89</f>
        <v>3000</v>
      </c>
      <c r="R164" s="16">
        <f>Posebni!K89</f>
        <v>3000</v>
      </c>
      <c r="S164" s="48">
        <f t="shared" si="67"/>
        <v>100</v>
      </c>
      <c r="T164" s="694">
        <f t="shared" si="68"/>
        <v>100</v>
      </c>
    </row>
    <row r="165" spans="1:20" s="1" customFormat="1" x14ac:dyDescent="0.2">
      <c r="A165" s="506"/>
      <c r="B165" s="362"/>
      <c r="C165" s="362"/>
      <c r="D165" s="362"/>
      <c r="E165" s="362"/>
      <c r="F165" s="362"/>
      <c r="G165" s="362"/>
      <c r="H165" s="345">
        <v>384</v>
      </c>
      <c r="I165" s="346" t="s">
        <v>91</v>
      </c>
      <c r="J165" s="347">
        <f t="shared" ref="J165:P165" si="75">SUM(J166:J167)</f>
        <v>0</v>
      </c>
      <c r="K165" s="347">
        <f t="shared" si="75"/>
        <v>0</v>
      </c>
      <c r="L165" s="347">
        <f t="shared" si="75"/>
        <v>0</v>
      </c>
      <c r="M165" s="347">
        <f t="shared" si="75"/>
        <v>0</v>
      </c>
      <c r="N165" s="347">
        <f t="shared" si="75"/>
        <v>0</v>
      </c>
      <c r="O165" s="347">
        <f t="shared" si="75"/>
        <v>0</v>
      </c>
      <c r="P165" s="648">
        <f t="shared" si="75"/>
        <v>0</v>
      </c>
      <c r="Q165" s="347">
        <f>SUM(Q166:Q167)</f>
        <v>0</v>
      </c>
      <c r="R165" s="347">
        <f>SUM(R166:R167)</f>
        <v>0</v>
      </c>
      <c r="S165" s="48">
        <v>0</v>
      </c>
      <c r="T165" s="694">
        <v>0</v>
      </c>
    </row>
    <row r="166" spans="1:20" x14ac:dyDescent="0.2">
      <c r="A166" s="504"/>
      <c r="B166" s="358"/>
      <c r="C166" s="358"/>
      <c r="D166" s="358"/>
      <c r="E166" s="358"/>
      <c r="F166" s="358"/>
      <c r="G166" s="358"/>
      <c r="H166" s="25">
        <v>3841</v>
      </c>
      <c r="I166" s="15" t="s">
        <v>92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48">
        <v>0</v>
      </c>
      <c r="T166" s="694">
        <v>0</v>
      </c>
    </row>
    <row r="167" spans="1:20" x14ac:dyDescent="0.2">
      <c r="A167" s="504"/>
      <c r="B167" s="358"/>
      <c r="C167" s="358"/>
      <c r="D167" s="358"/>
      <c r="E167" s="358"/>
      <c r="F167" s="358"/>
      <c r="G167" s="358"/>
      <c r="H167" s="25">
        <v>3842</v>
      </c>
      <c r="I167" s="15" t="s">
        <v>93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48">
        <v>0</v>
      </c>
      <c r="T167" s="694">
        <v>0</v>
      </c>
    </row>
    <row r="168" spans="1:20" s="1" customFormat="1" x14ac:dyDescent="0.2">
      <c r="A168" s="504"/>
      <c r="B168" s="358"/>
      <c r="C168" s="358"/>
      <c r="D168" s="358"/>
      <c r="E168" s="358"/>
      <c r="F168" s="358"/>
      <c r="G168" s="358"/>
      <c r="H168" s="24">
        <v>385</v>
      </c>
      <c r="I168" s="8" t="s">
        <v>94</v>
      </c>
      <c r="J168" s="12">
        <f t="shared" ref="J168:R168" si="76">SUM(J169)</f>
        <v>0</v>
      </c>
      <c r="K168" s="12">
        <f t="shared" si="76"/>
        <v>10000</v>
      </c>
      <c r="L168" s="12">
        <f t="shared" si="76"/>
        <v>10000</v>
      </c>
      <c r="M168" s="12">
        <f t="shared" si="76"/>
        <v>0</v>
      </c>
      <c r="N168" s="12">
        <f t="shared" si="76"/>
        <v>0</v>
      </c>
      <c r="O168" s="12">
        <f t="shared" si="76"/>
        <v>0</v>
      </c>
      <c r="P168" s="624">
        <f t="shared" si="76"/>
        <v>0</v>
      </c>
      <c r="Q168" s="12">
        <f t="shared" si="76"/>
        <v>0</v>
      </c>
      <c r="R168" s="12">
        <f t="shared" si="76"/>
        <v>0</v>
      </c>
      <c r="S168" s="48">
        <v>0</v>
      </c>
      <c r="T168" s="694">
        <v>0</v>
      </c>
    </row>
    <row r="169" spans="1:20" x14ac:dyDescent="0.2">
      <c r="A169" s="504"/>
      <c r="B169" s="358"/>
      <c r="C169" s="358"/>
      <c r="D169" s="358"/>
      <c r="E169" s="358"/>
      <c r="F169" s="358"/>
      <c r="G169" s="358"/>
      <c r="H169" s="25">
        <v>3851</v>
      </c>
      <c r="I169" s="15" t="s">
        <v>157</v>
      </c>
      <c r="J169" s="16">
        <v>0</v>
      </c>
      <c r="K169" s="16">
        <v>10000</v>
      </c>
      <c r="L169" s="16">
        <v>10000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48">
        <v>0</v>
      </c>
      <c r="T169" s="694">
        <v>0</v>
      </c>
    </row>
    <row r="170" spans="1:20" x14ac:dyDescent="0.2">
      <c r="A170" s="504"/>
      <c r="B170" s="358"/>
      <c r="C170" s="358"/>
      <c r="D170" s="358" t="s">
        <v>363</v>
      </c>
      <c r="E170" s="358"/>
      <c r="F170" s="358"/>
      <c r="G170" s="358"/>
      <c r="H170" s="28">
        <v>386</v>
      </c>
      <c r="I170" s="9" t="s">
        <v>127</v>
      </c>
      <c r="J170" s="12">
        <f t="shared" ref="J170:R170" si="77">SUM(J171)</f>
        <v>0</v>
      </c>
      <c r="K170" s="12">
        <f t="shared" si="77"/>
        <v>10000</v>
      </c>
      <c r="L170" s="12">
        <f t="shared" si="77"/>
        <v>50000</v>
      </c>
      <c r="M170" s="12">
        <f t="shared" si="77"/>
        <v>200000</v>
      </c>
      <c r="N170" s="12">
        <f t="shared" si="77"/>
        <v>26544.56168292521</v>
      </c>
      <c r="O170" s="12">
        <f t="shared" si="77"/>
        <v>210000</v>
      </c>
      <c r="P170" s="624" t="e">
        <f t="shared" si="77"/>
        <v>#REF!</v>
      </c>
      <c r="Q170" s="12">
        <f t="shared" si="77"/>
        <v>210000</v>
      </c>
      <c r="R170" s="12">
        <f t="shared" si="77"/>
        <v>210000</v>
      </c>
      <c r="S170" s="48">
        <f t="shared" ref="S170:S190" si="78">Q170/O170*100</f>
        <v>100</v>
      </c>
      <c r="T170" s="694">
        <f t="shared" ref="T170:T177" si="79">R170/Q170*100</f>
        <v>100</v>
      </c>
    </row>
    <row r="171" spans="1:20" ht="22.5" x14ac:dyDescent="0.2">
      <c r="A171" s="504" t="s">
        <v>477</v>
      </c>
      <c r="B171" s="358"/>
      <c r="C171" s="358"/>
      <c r="D171" s="358"/>
      <c r="E171" s="358"/>
      <c r="F171" s="358"/>
      <c r="G171" s="358"/>
      <c r="H171" s="25">
        <v>3861</v>
      </c>
      <c r="I171" s="15" t="s">
        <v>440</v>
      </c>
      <c r="J171" s="16">
        <v>0</v>
      </c>
      <c r="K171" s="16">
        <v>10000</v>
      </c>
      <c r="L171" s="16">
        <v>50000</v>
      </c>
      <c r="M171" s="16">
        <f>Posebni!F421+Posebni!F422</f>
        <v>200000</v>
      </c>
      <c r="N171" s="16">
        <f>Posebni!G421+Posebni!G422</f>
        <v>26544.56168292521</v>
      </c>
      <c r="O171" s="16">
        <f>Posebni!I421+Posebni!I422</f>
        <v>210000</v>
      </c>
      <c r="P171" s="16" t="e">
        <f>Posebni!#REF!+Posebni!#REF!</f>
        <v>#REF!</v>
      </c>
      <c r="Q171" s="16">
        <f>Posebni!J421+Posebni!J422</f>
        <v>210000</v>
      </c>
      <c r="R171" s="16">
        <f>Posebni!K421+Posebni!K422</f>
        <v>210000</v>
      </c>
      <c r="S171" s="52">
        <f t="shared" si="78"/>
        <v>100</v>
      </c>
      <c r="T171" s="694">
        <f t="shared" si="79"/>
        <v>100</v>
      </c>
    </row>
    <row r="172" spans="1:20" s="59" customFormat="1" ht="13.5" thickBot="1" x14ac:dyDescent="0.25">
      <c r="A172" s="508"/>
      <c r="B172" s="369"/>
      <c r="C172" s="369"/>
      <c r="D172" s="369"/>
      <c r="E172" s="369"/>
      <c r="F172" s="369"/>
      <c r="G172" s="369"/>
      <c r="H172" s="60">
        <v>4</v>
      </c>
      <c r="I172" s="61" t="s">
        <v>4</v>
      </c>
      <c r="J172" s="62" t="e">
        <f>SUM(J173+J176+J193)</f>
        <v>#REF!</v>
      </c>
      <c r="K172" s="62" t="e">
        <f>SUM(K173+K176+K193)</f>
        <v>#REF!</v>
      </c>
      <c r="L172" s="62" t="e">
        <f>SUM(L173+L176+L193)</f>
        <v>#REF!</v>
      </c>
      <c r="M172" s="62" t="e">
        <f t="shared" ref="M172:R172" si="80">SUM(M173+M176+M193)</f>
        <v>#REF!</v>
      </c>
      <c r="N172" s="62" t="e">
        <f t="shared" si="80"/>
        <v>#REF!</v>
      </c>
      <c r="O172" s="62">
        <f t="shared" si="80"/>
        <v>1262500</v>
      </c>
      <c r="P172" s="647" t="e">
        <f t="shared" si="80"/>
        <v>#REF!</v>
      </c>
      <c r="Q172" s="62">
        <f t="shared" si="80"/>
        <v>2808500</v>
      </c>
      <c r="R172" s="62">
        <f t="shared" si="80"/>
        <v>3590500</v>
      </c>
      <c r="S172" s="705">
        <f t="shared" si="78"/>
        <v>222.45544554455446</v>
      </c>
      <c r="T172" s="695">
        <f t="shared" si="79"/>
        <v>127.84404486380629</v>
      </c>
    </row>
    <row r="173" spans="1:20" s="84" customFormat="1" x14ac:dyDescent="0.2">
      <c r="A173" s="503"/>
      <c r="B173" s="367"/>
      <c r="C173" s="367"/>
      <c r="D173" s="367"/>
      <c r="E173" s="367"/>
      <c r="F173" s="367"/>
      <c r="G173" s="367"/>
      <c r="H173" s="78">
        <v>41</v>
      </c>
      <c r="I173" s="88" t="s">
        <v>158</v>
      </c>
      <c r="J173" s="80">
        <f t="shared" ref="J173:R174" si="81">SUM(J174)</f>
        <v>0</v>
      </c>
      <c r="K173" s="80">
        <f t="shared" si="81"/>
        <v>70000</v>
      </c>
      <c r="L173" s="80">
        <f t="shared" si="81"/>
        <v>0</v>
      </c>
      <c r="M173" s="80">
        <f t="shared" si="81"/>
        <v>100000</v>
      </c>
      <c r="N173" s="80">
        <f t="shared" si="81"/>
        <v>13272.280841462605</v>
      </c>
      <c r="O173" s="80">
        <f t="shared" si="81"/>
        <v>120000</v>
      </c>
      <c r="P173" s="643" t="e">
        <f t="shared" si="81"/>
        <v>#REF!</v>
      </c>
      <c r="Q173" s="80">
        <f t="shared" si="81"/>
        <v>10000</v>
      </c>
      <c r="R173" s="80">
        <f t="shared" si="81"/>
        <v>10000</v>
      </c>
      <c r="S173" s="81">
        <f t="shared" si="78"/>
        <v>8.3333333333333321</v>
      </c>
      <c r="T173" s="693">
        <f t="shared" si="79"/>
        <v>100</v>
      </c>
    </row>
    <row r="174" spans="1:20" s="1" customFormat="1" x14ac:dyDescent="0.2">
      <c r="A174" s="504"/>
      <c r="B174" s="358"/>
      <c r="C174" s="358"/>
      <c r="D174" s="358"/>
      <c r="E174" s="358"/>
      <c r="F174" s="358" t="s">
        <v>365</v>
      </c>
      <c r="G174" s="358"/>
      <c r="H174" s="24">
        <v>411</v>
      </c>
      <c r="I174" s="8" t="s">
        <v>95</v>
      </c>
      <c r="J174" s="12">
        <f t="shared" si="81"/>
        <v>0</v>
      </c>
      <c r="K174" s="12">
        <f t="shared" si="81"/>
        <v>70000</v>
      </c>
      <c r="L174" s="12">
        <f t="shared" si="81"/>
        <v>0</v>
      </c>
      <c r="M174" s="12">
        <f t="shared" si="81"/>
        <v>100000</v>
      </c>
      <c r="N174" s="12">
        <f t="shared" si="81"/>
        <v>13272.280841462605</v>
      </c>
      <c r="O174" s="12">
        <f t="shared" si="81"/>
        <v>120000</v>
      </c>
      <c r="P174" s="624" t="e">
        <f t="shared" si="81"/>
        <v>#REF!</v>
      </c>
      <c r="Q174" s="12">
        <f t="shared" si="81"/>
        <v>10000</v>
      </c>
      <c r="R174" s="12">
        <f t="shared" si="81"/>
        <v>10000</v>
      </c>
      <c r="S174" s="48">
        <f t="shared" si="78"/>
        <v>8.3333333333333321</v>
      </c>
      <c r="T174" s="694">
        <f t="shared" si="79"/>
        <v>100</v>
      </c>
    </row>
    <row r="175" spans="1:20" x14ac:dyDescent="0.2">
      <c r="A175" s="504" t="s">
        <v>477</v>
      </c>
      <c r="B175" s="358"/>
      <c r="C175" s="358"/>
      <c r="D175" s="358"/>
      <c r="E175" s="358"/>
      <c r="F175" s="358"/>
      <c r="G175" s="358"/>
      <c r="H175" s="25">
        <v>4111</v>
      </c>
      <c r="I175" s="15" t="s">
        <v>40</v>
      </c>
      <c r="J175" s="16">
        <v>0</v>
      </c>
      <c r="K175" s="16">
        <v>70000</v>
      </c>
      <c r="L175" s="16">
        <v>0</v>
      </c>
      <c r="M175" s="16">
        <f>Posebni!F398</f>
        <v>100000</v>
      </c>
      <c r="N175" s="16">
        <f>Posebni!G398</f>
        <v>13272.280841462605</v>
      </c>
      <c r="O175" s="16">
        <f>Posebni!I398</f>
        <v>120000</v>
      </c>
      <c r="P175" s="16" t="e">
        <f>Posebni!#REF!</f>
        <v>#REF!</v>
      </c>
      <c r="Q175" s="16">
        <f>Posebni!J398</f>
        <v>10000</v>
      </c>
      <c r="R175" s="16">
        <f>Posebni!K398</f>
        <v>10000</v>
      </c>
      <c r="S175" s="48">
        <f t="shared" si="78"/>
        <v>8.3333333333333321</v>
      </c>
      <c r="T175" s="694">
        <f t="shared" si="79"/>
        <v>100</v>
      </c>
    </row>
    <row r="176" spans="1:20" s="84" customFormat="1" x14ac:dyDescent="0.2">
      <c r="A176" s="505"/>
      <c r="B176" s="368"/>
      <c r="C176" s="368"/>
      <c r="D176" s="368"/>
      <c r="E176" s="368"/>
      <c r="F176" s="368"/>
      <c r="G176" s="368"/>
      <c r="H176" s="85">
        <v>42</v>
      </c>
      <c r="I176" s="89" t="s">
        <v>159</v>
      </c>
      <c r="J176" s="87" t="e">
        <f>SUM(J177+J181+#REF!+#REF!+J189)</f>
        <v>#REF!</v>
      </c>
      <c r="K176" s="87" t="e">
        <f>SUM(K177+K181+#REF!+K189)</f>
        <v>#REF!</v>
      </c>
      <c r="L176" s="87" t="e">
        <f>SUM(L177+L181+#REF!+L189)</f>
        <v>#REF!</v>
      </c>
      <c r="M176" s="87" t="e">
        <f t="shared" ref="M176:R176" si="82">SUM(M177+M181+M189)</f>
        <v>#REF!</v>
      </c>
      <c r="N176" s="87" t="e">
        <f t="shared" si="82"/>
        <v>#REF!</v>
      </c>
      <c r="O176" s="87">
        <f>SUM(O177+O181+O187+O189)</f>
        <v>611000</v>
      </c>
      <c r="P176" s="645" t="e">
        <f t="shared" si="82"/>
        <v>#REF!</v>
      </c>
      <c r="Q176" s="87">
        <f t="shared" si="82"/>
        <v>2648500</v>
      </c>
      <c r="R176" s="87">
        <f t="shared" si="82"/>
        <v>3580500</v>
      </c>
      <c r="S176" s="81">
        <f t="shared" si="78"/>
        <v>433.46972176759414</v>
      </c>
      <c r="T176" s="693">
        <f t="shared" si="79"/>
        <v>135.18973003586936</v>
      </c>
    </row>
    <row r="177" spans="1:20" s="1" customFormat="1" x14ac:dyDescent="0.2">
      <c r="A177" s="504"/>
      <c r="B177" s="358"/>
      <c r="C177" s="358" t="s">
        <v>362</v>
      </c>
      <c r="D177" s="358" t="s">
        <v>363</v>
      </c>
      <c r="E177" s="358"/>
      <c r="F177" s="358"/>
      <c r="G177" s="358"/>
      <c r="H177" s="24">
        <v>421</v>
      </c>
      <c r="I177" s="8" t="s">
        <v>97</v>
      </c>
      <c r="J177" s="12">
        <f t="shared" ref="J177:P177" si="83">SUM(J178:J180)</f>
        <v>3570032</v>
      </c>
      <c r="K177" s="12">
        <f t="shared" si="83"/>
        <v>1450000</v>
      </c>
      <c r="L177" s="12">
        <f t="shared" si="83"/>
        <v>190000</v>
      </c>
      <c r="M177" s="12" t="e">
        <f t="shared" si="83"/>
        <v>#REF!</v>
      </c>
      <c r="N177" s="12" t="e">
        <f t="shared" si="83"/>
        <v>#REF!</v>
      </c>
      <c r="O177" s="12">
        <f t="shared" si="83"/>
        <v>425000</v>
      </c>
      <c r="P177" s="624" t="e">
        <f t="shared" si="83"/>
        <v>#REF!</v>
      </c>
      <c r="Q177" s="12">
        <f>SUM(Q178:Q180)</f>
        <v>2610000</v>
      </c>
      <c r="R177" s="12">
        <f>SUM(R178:R180)</f>
        <v>3545000</v>
      </c>
      <c r="S177" s="48">
        <f t="shared" si="78"/>
        <v>614.11764705882354</v>
      </c>
      <c r="T177" s="694">
        <f t="shared" si="79"/>
        <v>135.82375478927202</v>
      </c>
    </row>
    <row r="178" spans="1:20" x14ac:dyDescent="0.2">
      <c r="A178" s="504"/>
      <c r="B178" s="358"/>
      <c r="C178" s="358"/>
      <c r="D178" s="358"/>
      <c r="E178" s="358"/>
      <c r="F178" s="358"/>
      <c r="G178" s="358"/>
      <c r="H178" s="25">
        <v>4212</v>
      </c>
      <c r="I178" s="15" t="s">
        <v>98</v>
      </c>
      <c r="J178" s="16">
        <v>700190</v>
      </c>
      <c r="K178" s="16">
        <v>350000</v>
      </c>
      <c r="L178" s="16">
        <v>70000</v>
      </c>
      <c r="M178" s="16" t="e">
        <f>Posebni!#REF!</f>
        <v>#REF!</v>
      </c>
      <c r="N178" s="16" t="e">
        <f>Posebni!#REF!</f>
        <v>#REF!</v>
      </c>
      <c r="O178" s="16">
        <v>0</v>
      </c>
      <c r="P178" s="16">
        <v>0</v>
      </c>
      <c r="Q178" s="16">
        <v>0</v>
      </c>
      <c r="R178" s="16">
        <v>0</v>
      </c>
      <c r="S178" s="48" t="e">
        <f t="shared" si="78"/>
        <v>#DIV/0!</v>
      </c>
      <c r="T178" s="694">
        <v>0</v>
      </c>
    </row>
    <row r="179" spans="1:20" x14ac:dyDescent="0.2">
      <c r="A179" s="504" t="s">
        <v>477</v>
      </c>
      <c r="B179" s="358"/>
      <c r="C179" s="358"/>
      <c r="D179" s="358"/>
      <c r="E179" s="358"/>
      <c r="F179" s="358"/>
      <c r="G179" s="358"/>
      <c r="H179" s="25">
        <v>4213</v>
      </c>
      <c r="I179" s="15" t="s">
        <v>139</v>
      </c>
      <c r="J179" s="16">
        <v>2869842</v>
      </c>
      <c r="K179" s="16">
        <v>100000</v>
      </c>
      <c r="L179" s="16">
        <v>100000</v>
      </c>
      <c r="M179" s="16" t="e">
        <f>Posebni!#REF!+Posebni!F410+Posebni!#REF!+Posebni!#REF!+Posebni!F415</f>
        <v>#REF!</v>
      </c>
      <c r="N179" s="16" t="e">
        <f>Posebni!#REF!+Posebni!G410+Posebni!#REF!+Posebni!#REF!+Posebni!G415</f>
        <v>#REF!</v>
      </c>
      <c r="O179" s="16">
        <f>+Posebni!I410+Posebni!I411+Posebni!I412+Posebni!I413</f>
        <v>100000</v>
      </c>
      <c r="P179" s="16" t="e">
        <f>+Posebni!#REF!+Posebni!#REF!+Posebni!#REF!+Posebni!#REF!</f>
        <v>#REF!</v>
      </c>
      <c r="Q179" s="16">
        <f>+Posebni!J410+Posebni!J411+Posebni!J412+Posebni!J413</f>
        <v>455000</v>
      </c>
      <c r="R179" s="16">
        <f>+Posebni!K410+Posebni!K411+Posebni!K412+Posebni!K413</f>
        <v>450000</v>
      </c>
      <c r="S179" s="48">
        <f t="shared" si="78"/>
        <v>455</v>
      </c>
      <c r="T179" s="694">
        <f t="shared" ref="T179:T190" si="84">R179/Q179*100</f>
        <v>98.901098901098905</v>
      </c>
    </row>
    <row r="180" spans="1:20" x14ac:dyDescent="0.2">
      <c r="A180" s="504" t="s">
        <v>477</v>
      </c>
      <c r="B180" s="358"/>
      <c r="C180" s="358"/>
      <c r="D180" s="358"/>
      <c r="E180" s="358"/>
      <c r="F180" s="358"/>
      <c r="G180" s="358"/>
      <c r="H180" s="25">
        <v>4214</v>
      </c>
      <c r="I180" s="15" t="s">
        <v>119</v>
      </c>
      <c r="J180" s="16">
        <v>0</v>
      </c>
      <c r="K180" s="16">
        <v>1000000</v>
      </c>
      <c r="L180" s="16">
        <v>20000</v>
      </c>
      <c r="M180" s="16" t="e">
        <f>Posebni!F330+Posebni!F404+Posebni!F428+Posebni!F454+Posebni!F472+Posebni!F494+Posebni!#REF!+Posebni!F495+Posebni!F523+Posebni!#REF!+Posebni!#REF!+Posebni!#REF!+Posebni!F537+Posebni!F560</f>
        <v>#REF!</v>
      </c>
      <c r="N180" s="16" t="e">
        <f>Posebni!G330+Posebni!G404+Posebni!G428+Posebni!G454+Posebni!G472+Posebni!G494+Posebni!#REF!+Posebni!G495+Posebni!G523+Posebni!#REF!+Posebni!#REF!+Posebni!#REF!+Posebni!G537+Posebni!G560</f>
        <v>#REF!</v>
      </c>
      <c r="O180" s="16">
        <f>Posebni!I330+Posebni!I404+Posebni!I428+Posebni!I430+Posebni!I436+Posebni!I437+Posebni!I454+Posebni!I460+Posebni!I466+Posebni!I472+Posebni!I478+Posebni!I484+Posebni!I485+Posebni!I494+Posebni!I495+Posebni!I523+Posebni!I529+Posebni!I536+Posebni!I537+Posebni!I539+Posebni!I560+Posebni!I562+Posebni!I568+Posebni!I569+Posebni!I575+Posebni!I577+Posebni!I583+Posebni!I591+Posebni!I592</f>
        <v>325000</v>
      </c>
      <c r="P180" s="16" t="e">
        <f>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+Posebni!#REF!</f>
        <v>#REF!</v>
      </c>
      <c r="Q180" s="16">
        <f>Posebni!J330+Posebni!J404+Posebni!J428+Posebni!J430+Posebni!J436+Posebni!J437+Posebni!J454+Posebni!J460+Posebni!J466+Posebni!J472+Posebni!J478+Posebni!J484+Posebni!J485+Posebni!J494+Posebni!J495+Posebni!J523+Posebni!J529+Posebni!J536+Posebni!J537+Posebni!J539+Posebni!J560+Posebni!J562+Posebni!J568+Posebni!J569+Posebni!J575+Posebni!J577+Posebni!J583+Posebni!J591+Posebni!J592</f>
        <v>2155000</v>
      </c>
      <c r="R180" s="16">
        <f>Posebni!K330+Posebni!K404+Posebni!K428+Posebni!K430+Posebni!K436+Posebni!K437+Posebni!K454+Posebni!K460+Posebni!K466+Posebni!K472+Posebni!K478+Posebni!K484+Posebni!K485+Posebni!K494+Posebni!K495+Posebni!K523+Posebni!K529+Posebni!K536+Posebni!K537+Posebni!K539+Posebni!K560+Posebni!K562+Posebni!K568+Posebni!K569+Posebni!K575+Posebni!K577+Posebni!K583+Posebni!K591+Posebni!K592</f>
        <v>3095000</v>
      </c>
      <c r="S180" s="48">
        <f t="shared" si="78"/>
        <v>663.07692307692309</v>
      </c>
      <c r="T180" s="694">
        <f t="shared" si="84"/>
        <v>143.61948955916472</v>
      </c>
    </row>
    <row r="181" spans="1:20" s="1" customFormat="1" x14ac:dyDescent="0.2">
      <c r="A181" s="504"/>
      <c r="B181" s="358"/>
      <c r="C181" s="358"/>
      <c r="D181" s="358"/>
      <c r="E181" s="358"/>
      <c r="F181" s="358"/>
      <c r="G181" s="358"/>
      <c r="H181" s="24">
        <v>422</v>
      </c>
      <c r="I181" s="8" t="s">
        <v>99</v>
      </c>
      <c r="J181" s="12">
        <f t="shared" ref="J181:P181" si="85">SUM(J182:J186)</f>
        <v>15009</v>
      </c>
      <c r="K181" s="12">
        <f t="shared" si="85"/>
        <v>62000</v>
      </c>
      <c r="L181" s="12">
        <f t="shared" si="85"/>
        <v>62000</v>
      </c>
      <c r="M181" s="12" t="e">
        <f t="shared" si="85"/>
        <v>#REF!</v>
      </c>
      <c r="N181" s="12" t="e">
        <f t="shared" si="85"/>
        <v>#REF!</v>
      </c>
      <c r="O181" s="12">
        <f t="shared" si="85"/>
        <v>83600</v>
      </c>
      <c r="P181" s="624" t="e">
        <f t="shared" si="85"/>
        <v>#REF!</v>
      </c>
      <c r="Q181" s="12">
        <f>SUM(Q182:Q186)</f>
        <v>32000</v>
      </c>
      <c r="R181" s="12">
        <f>SUM(R182:R186)</f>
        <v>29000</v>
      </c>
      <c r="S181" s="48">
        <f t="shared" si="78"/>
        <v>38.277511961722489</v>
      </c>
      <c r="T181" s="694">
        <f t="shared" si="84"/>
        <v>90.625</v>
      </c>
    </row>
    <row r="182" spans="1:20" x14ac:dyDescent="0.2">
      <c r="A182" s="504" t="s">
        <v>477</v>
      </c>
      <c r="B182" s="358"/>
      <c r="C182" s="358"/>
      <c r="D182" s="358"/>
      <c r="E182" s="358"/>
      <c r="F182" s="358"/>
      <c r="G182" s="358"/>
      <c r="H182" s="25">
        <v>4221</v>
      </c>
      <c r="I182" s="15" t="s">
        <v>163</v>
      </c>
      <c r="J182" s="16">
        <v>15009</v>
      </c>
      <c r="K182" s="16">
        <v>20000</v>
      </c>
      <c r="L182" s="16">
        <v>20000</v>
      </c>
      <c r="M182" s="16">
        <f>Posebni!F63</f>
        <v>20000</v>
      </c>
      <c r="N182" s="16">
        <f>Posebni!G63</f>
        <v>2654.4561682925209</v>
      </c>
      <c r="O182" s="16">
        <f>Posebni!I63+Posebni!I77</f>
        <v>6000</v>
      </c>
      <c r="P182" s="16" t="e">
        <f>Posebni!#REF!+Posebni!#REF!</f>
        <v>#REF!</v>
      </c>
      <c r="Q182" s="16">
        <f>Posebni!J63+Posebni!J77</f>
        <v>6000</v>
      </c>
      <c r="R182" s="16">
        <f>Posebni!K63+Posebni!K77</f>
        <v>6000</v>
      </c>
      <c r="S182" s="48">
        <f t="shared" si="78"/>
        <v>100</v>
      </c>
      <c r="T182" s="694">
        <f t="shared" si="84"/>
        <v>100</v>
      </c>
    </row>
    <row r="183" spans="1:20" x14ac:dyDescent="0.2">
      <c r="A183" s="504" t="s">
        <v>477</v>
      </c>
      <c r="B183" s="358"/>
      <c r="C183" s="358"/>
      <c r="D183" s="358"/>
      <c r="E183" s="358"/>
      <c r="F183" s="358"/>
      <c r="G183" s="358"/>
      <c r="H183" s="25">
        <v>4222</v>
      </c>
      <c r="I183" s="15" t="s">
        <v>101</v>
      </c>
      <c r="J183" s="16">
        <v>0</v>
      </c>
      <c r="K183" s="16">
        <v>5000</v>
      </c>
      <c r="L183" s="16">
        <v>5000</v>
      </c>
      <c r="M183" s="16">
        <f>Posebni!F64</f>
        <v>15000</v>
      </c>
      <c r="N183" s="16">
        <f>Posebni!G64</f>
        <v>1990.8421262193906</v>
      </c>
      <c r="O183" s="16">
        <f>Posebni!I64</f>
        <v>1000</v>
      </c>
      <c r="P183" s="16" t="e">
        <f>Posebni!#REF!</f>
        <v>#REF!</v>
      </c>
      <c r="Q183" s="16">
        <f>Posebni!J64</f>
        <v>4000</v>
      </c>
      <c r="R183" s="16">
        <f>Posebni!K64</f>
        <v>1000</v>
      </c>
      <c r="S183" s="48">
        <f t="shared" si="78"/>
        <v>400</v>
      </c>
      <c r="T183" s="694">
        <f t="shared" si="84"/>
        <v>25</v>
      </c>
    </row>
    <row r="184" spans="1:20" x14ac:dyDescent="0.2">
      <c r="A184" s="504" t="s">
        <v>477</v>
      </c>
      <c r="B184" s="358"/>
      <c r="C184" s="358"/>
      <c r="D184" s="358"/>
      <c r="E184" s="358"/>
      <c r="F184" s="358"/>
      <c r="G184" s="358"/>
      <c r="H184" s="25">
        <v>4223</v>
      </c>
      <c r="I184" s="15" t="s">
        <v>112</v>
      </c>
      <c r="J184" s="16">
        <v>0</v>
      </c>
      <c r="K184" s="16">
        <v>2000</v>
      </c>
      <c r="L184" s="16">
        <v>2000</v>
      </c>
      <c r="M184" s="16" t="e">
        <f>Posebni!F65+Posebni!#REF!</f>
        <v>#REF!</v>
      </c>
      <c r="N184" s="16" t="e">
        <f>Posebni!G65+Posebni!#REF!</f>
        <v>#REF!</v>
      </c>
      <c r="O184" s="16">
        <f>Posebni!I65</f>
        <v>2000</v>
      </c>
      <c r="P184" s="644" t="e">
        <f>Posebni!#REF!+Posebni!#REF!</f>
        <v>#REF!</v>
      </c>
      <c r="Q184" s="16">
        <f>Posebni!J65</f>
        <v>1000</v>
      </c>
      <c r="R184" s="16">
        <f>Posebni!K65</f>
        <v>1000</v>
      </c>
      <c r="S184" s="48">
        <f t="shared" si="78"/>
        <v>50</v>
      </c>
      <c r="T184" s="694">
        <f t="shared" si="84"/>
        <v>100</v>
      </c>
    </row>
    <row r="185" spans="1:20" x14ac:dyDescent="0.2">
      <c r="A185" s="504" t="s">
        <v>477</v>
      </c>
      <c r="B185" s="358"/>
      <c r="C185" s="358"/>
      <c r="D185" s="358"/>
      <c r="E185" s="358"/>
      <c r="F185" s="358"/>
      <c r="G185" s="358"/>
      <c r="H185" s="25">
        <v>4226</v>
      </c>
      <c r="I185" s="15" t="s">
        <v>382</v>
      </c>
      <c r="J185" s="16"/>
      <c r="K185" s="16"/>
      <c r="L185" s="16"/>
      <c r="M185" s="16">
        <f>Posebni!F66</f>
        <v>7500</v>
      </c>
      <c r="N185" s="16">
        <f>Posebni!G66</f>
        <v>995.4210631096953</v>
      </c>
      <c r="O185" s="16">
        <f>Posebni!I66</f>
        <v>1000</v>
      </c>
      <c r="P185" s="16" t="e">
        <f>Posebni!#REF!</f>
        <v>#REF!</v>
      </c>
      <c r="Q185" s="16">
        <f>Posebni!J66</f>
        <v>1000</v>
      </c>
      <c r="R185" s="16">
        <f>Posebni!K66</f>
        <v>1000</v>
      </c>
      <c r="S185" s="48">
        <f t="shared" si="78"/>
        <v>100</v>
      </c>
      <c r="T185" s="694">
        <f t="shared" si="84"/>
        <v>100</v>
      </c>
    </row>
    <row r="186" spans="1:20" x14ac:dyDescent="0.2">
      <c r="A186" s="504" t="s">
        <v>477</v>
      </c>
      <c r="B186" s="358"/>
      <c r="C186" s="358"/>
      <c r="D186" s="358"/>
      <c r="E186" s="358"/>
      <c r="F186" s="358"/>
      <c r="G186" s="358"/>
      <c r="H186" s="25">
        <v>4227</v>
      </c>
      <c r="I186" s="15" t="s">
        <v>102</v>
      </c>
      <c r="J186" s="16">
        <v>0</v>
      </c>
      <c r="K186" s="16">
        <v>35000</v>
      </c>
      <c r="L186" s="16">
        <v>35000</v>
      </c>
      <c r="M186" s="16" t="e">
        <f>Posebni!F67+Posebni!#REF!</f>
        <v>#REF!</v>
      </c>
      <c r="N186" s="16" t="e">
        <f>Posebni!G67+Posebni!#REF!</f>
        <v>#REF!</v>
      </c>
      <c r="O186" s="16">
        <f>Posebni!I67+Posebni!I552+Posebni!I553+Posebni!I554</f>
        <v>73600</v>
      </c>
      <c r="P186" s="16" t="e">
        <f>Posebni!#REF!+Posebni!#REF!+Posebni!#REF!+Posebni!#REF!</f>
        <v>#REF!</v>
      </c>
      <c r="Q186" s="16">
        <f>Posebni!J67+Posebni!J552+Posebni!J553+Posebni!J554</f>
        <v>20000</v>
      </c>
      <c r="R186" s="16">
        <f>Posebni!K67+Posebni!K552+Posebni!K553+Posebni!K554</f>
        <v>20000</v>
      </c>
      <c r="S186" s="48">
        <f t="shared" si="78"/>
        <v>27.173913043478258</v>
      </c>
      <c r="T186" s="694">
        <f t="shared" si="84"/>
        <v>100</v>
      </c>
    </row>
    <row r="187" spans="1:20" x14ac:dyDescent="0.2">
      <c r="A187" s="504"/>
      <c r="B187" s="358"/>
      <c r="C187" s="358"/>
      <c r="D187" s="358"/>
      <c r="E187" s="358"/>
      <c r="F187" s="358"/>
      <c r="G187" s="358"/>
      <c r="H187" s="28">
        <v>423</v>
      </c>
      <c r="I187" s="9" t="s">
        <v>575</v>
      </c>
      <c r="J187" s="16"/>
      <c r="K187" s="16"/>
      <c r="L187" s="16"/>
      <c r="M187" s="16"/>
      <c r="N187" s="16"/>
      <c r="O187" s="16">
        <f>SUM(O188)</f>
        <v>20000</v>
      </c>
      <c r="P187" s="16" t="e">
        <f t="shared" ref="P187:R187" si="86">SUM(P188)</f>
        <v>#REF!</v>
      </c>
      <c r="Q187" s="16">
        <f t="shared" si="86"/>
        <v>0</v>
      </c>
      <c r="R187" s="16">
        <f t="shared" si="86"/>
        <v>0</v>
      </c>
      <c r="S187" s="48">
        <f t="shared" si="78"/>
        <v>0</v>
      </c>
      <c r="T187" s="694" t="e">
        <f t="shared" si="84"/>
        <v>#DIV/0!</v>
      </c>
    </row>
    <row r="188" spans="1:20" x14ac:dyDescent="0.2">
      <c r="A188" s="504" t="s">
        <v>477</v>
      </c>
      <c r="B188" s="358"/>
      <c r="C188" s="358"/>
      <c r="D188" s="358"/>
      <c r="E188" s="358"/>
      <c r="F188" s="358"/>
      <c r="G188" s="358"/>
      <c r="H188" s="25">
        <v>4231</v>
      </c>
      <c r="I188" s="15" t="s">
        <v>577</v>
      </c>
      <c r="J188" s="16"/>
      <c r="K188" s="16"/>
      <c r="L188" s="16"/>
      <c r="M188" s="16"/>
      <c r="N188" s="16"/>
      <c r="O188" s="16">
        <f>Posebni!I69</f>
        <v>20000</v>
      </c>
      <c r="P188" s="16" t="e">
        <f>Posebni!#REF!</f>
        <v>#REF!</v>
      </c>
      <c r="Q188" s="16">
        <f>Posebni!J69</f>
        <v>0</v>
      </c>
      <c r="R188" s="16">
        <f>Posebni!K69</f>
        <v>0</v>
      </c>
      <c r="S188" s="48">
        <f t="shared" si="78"/>
        <v>0</v>
      </c>
      <c r="T188" s="694" t="e">
        <f t="shared" si="84"/>
        <v>#DIV/0!</v>
      </c>
    </row>
    <row r="189" spans="1:20" s="1" customFormat="1" x14ac:dyDescent="0.2">
      <c r="A189" s="504"/>
      <c r="B189" s="358"/>
      <c r="C189" s="358"/>
      <c r="D189" s="358"/>
      <c r="E189" s="358"/>
      <c r="F189" s="358"/>
      <c r="G189" s="358"/>
      <c r="H189" s="24">
        <v>426</v>
      </c>
      <c r="I189" s="8" t="s">
        <v>117</v>
      </c>
      <c r="J189" s="12">
        <f>SUM(J190:J191)</f>
        <v>0</v>
      </c>
      <c r="K189" s="12">
        <f>SUM(K190:K191)</f>
        <v>105000</v>
      </c>
      <c r="L189" s="12">
        <f>SUM(L190:L191)</f>
        <v>5000</v>
      </c>
      <c r="M189" s="12" t="e">
        <f t="shared" ref="M189:R189" si="87">SUM(M190:M192)</f>
        <v>#REF!</v>
      </c>
      <c r="N189" s="12" t="e">
        <f t="shared" si="87"/>
        <v>#REF!</v>
      </c>
      <c r="O189" s="12">
        <f t="shared" si="87"/>
        <v>82400</v>
      </c>
      <c r="P189" s="624" t="e">
        <f t="shared" si="87"/>
        <v>#REF!</v>
      </c>
      <c r="Q189" s="12">
        <f t="shared" si="87"/>
        <v>6500</v>
      </c>
      <c r="R189" s="12">
        <f t="shared" si="87"/>
        <v>6500</v>
      </c>
      <c r="S189" s="48">
        <f t="shared" si="78"/>
        <v>7.8883495145631075</v>
      </c>
      <c r="T189" s="694">
        <f t="shared" si="84"/>
        <v>100</v>
      </c>
    </row>
    <row r="190" spans="1:20" x14ac:dyDescent="0.2">
      <c r="A190" s="504" t="s">
        <v>477</v>
      </c>
      <c r="B190" s="358"/>
      <c r="C190" s="358"/>
      <c r="D190" s="358"/>
      <c r="E190" s="358"/>
      <c r="F190" s="358"/>
      <c r="G190" s="358"/>
      <c r="H190" s="25">
        <v>4262</v>
      </c>
      <c r="I190" s="15" t="s">
        <v>113</v>
      </c>
      <c r="J190" s="16">
        <v>0</v>
      </c>
      <c r="K190" s="16">
        <v>5000</v>
      </c>
      <c r="L190" s="16">
        <v>5000</v>
      </c>
      <c r="M190" s="16">
        <f>Posebni!F75</f>
        <v>20000</v>
      </c>
      <c r="N190" s="16">
        <f>Posebni!G75</f>
        <v>2654.4561682925209</v>
      </c>
      <c r="O190" s="16">
        <f>Posebni!I75</f>
        <v>20000</v>
      </c>
      <c r="P190" s="16" t="e">
        <f>Posebni!#REF!</f>
        <v>#REF!</v>
      </c>
      <c r="Q190" s="16">
        <f>Posebni!J75</f>
        <v>5000</v>
      </c>
      <c r="R190" s="16">
        <f>Posebni!K75</f>
        <v>5000</v>
      </c>
      <c r="S190" s="48">
        <f t="shared" si="78"/>
        <v>25</v>
      </c>
      <c r="T190" s="694">
        <f t="shared" si="84"/>
        <v>100</v>
      </c>
    </row>
    <row r="191" spans="1:20" x14ac:dyDescent="0.2">
      <c r="A191" s="504" t="s">
        <v>477</v>
      </c>
      <c r="B191" s="358"/>
      <c r="C191" s="358"/>
      <c r="D191" s="358"/>
      <c r="E191" s="358"/>
      <c r="F191" s="358"/>
      <c r="G191" s="358"/>
      <c r="H191" s="25">
        <v>4263</v>
      </c>
      <c r="I191" s="15" t="s">
        <v>428</v>
      </c>
      <c r="J191" s="16">
        <v>0</v>
      </c>
      <c r="K191" s="16">
        <v>100000</v>
      </c>
      <c r="L191" s="16">
        <v>0</v>
      </c>
      <c r="M191" s="16">
        <v>0</v>
      </c>
      <c r="N191" s="16">
        <v>0</v>
      </c>
      <c r="O191" s="16">
        <f>Posebni!I602+Posebni!I603+Posebni!I609+Posebni!I610+Posebni!I616+Posebni!I617</f>
        <v>60900</v>
      </c>
      <c r="P191" s="16" t="e">
        <f>Posebni!#REF!+Posebni!#REF!+Posebni!#REF!+Posebni!#REF!+Posebni!#REF!+Posebni!#REF!</f>
        <v>#REF!</v>
      </c>
      <c r="Q191" s="16">
        <f>Posebni!J602+Posebni!J603+Posebni!J609+Posebni!J610+Posebni!J616+Posebni!J617</f>
        <v>0</v>
      </c>
      <c r="R191" s="16">
        <f>Posebni!K602+Posebni!K603+Posebni!K609+Posebni!K610+Posebni!K616+Posebni!K617</f>
        <v>0</v>
      </c>
      <c r="S191" s="48">
        <v>0</v>
      </c>
      <c r="T191" s="694">
        <v>0</v>
      </c>
    </row>
    <row r="192" spans="1:20" x14ac:dyDescent="0.2">
      <c r="A192" s="504" t="s">
        <v>477</v>
      </c>
      <c r="B192" s="358"/>
      <c r="C192" s="358"/>
      <c r="D192" s="358"/>
      <c r="E192" s="358"/>
      <c r="F192" s="358"/>
      <c r="G192" s="358"/>
      <c r="H192" s="25">
        <v>4264</v>
      </c>
      <c r="I192" s="15" t="s">
        <v>383</v>
      </c>
      <c r="J192" s="16"/>
      <c r="K192" s="16"/>
      <c r="L192" s="16"/>
      <c r="M192" s="16" t="e">
        <f>Posebni!F232+Posebni!#REF!</f>
        <v>#REF!</v>
      </c>
      <c r="N192" s="16" t="e">
        <f>Posebni!G232+Posebni!#REF!</f>
        <v>#REF!</v>
      </c>
      <c r="O192" s="16">
        <f>Posebni!I232</f>
        <v>1500</v>
      </c>
      <c r="P192" s="16" t="e">
        <f>Posebni!#REF!</f>
        <v>#REF!</v>
      </c>
      <c r="Q192" s="16">
        <f>Posebni!J232</f>
        <v>1500</v>
      </c>
      <c r="R192" s="16">
        <f>Posebni!K232</f>
        <v>1500</v>
      </c>
      <c r="S192" s="48">
        <v>0</v>
      </c>
      <c r="T192" s="694">
        <v>0</v>
      </c>
    </row>
    <row r="193" spans="1:20" s="84" customFormat="1" x14ac:dyDescent="0.2">
      <c r="A193" s="505"/>
      <c r="B193" s="368"/>
      <c r="C193" s="368"/>
      <c r="D193" s="368"/>
      <c r="E193" s="368"/>
      <c r="F193" s="368"/>
      <c r="G193" s="368"/>
      <c r="H193" s="85">
        <v>45</v>
      </c>
      <c r="I193" s="89" t="s">
        <v>360</v>
      </c>
      <c r="J193" s="87">
        <f t="shared" ref="J193:P193" si="88">SUM(J194+J196)</f>
        <v>0</v>
      </c>
      <c r="K193" s="87">
        <f t="shared" si="88"/>
        <v>0</v>
      </c>
      <c r="L193" s="87">
        <f t="shared" si="88"/>
        <v>0</v>
      </c>
      <c r="M193" s="87" t="e">
        <f t="shared" si="88"/>
        <v>#REF!</v>
      </c>
      <c r="N193" s="87" t="e">
        <f t="shared" si="88"/>
        <v>#REF!</v>
      </c>
      <c r="O193" s="87">
        <f t="shared" si="88"/>
        <v>531500</v>
      </c>
      <c r="P193" s="645" t="e">
        <f t="shared" si="88"/>
        <v>#REF!</v>
      </c>
      <c r="Q193" s="87">
        <f>SUM(Q194+Q196)</f>
        <v>150000</v>
      </c>
      <c r="R193" s="87">
        <f>SUM(R194+R196)</f>
        <v>0</v>
      </c>
      <c r="S193" s="81">
        <f>Q193/O193*100</f>
        <v>28.222013170272813</v>
      </c>
      <c r="T193" s="693">
        <f>R193/Q193*100</f>
        <v>0</v>
      </c>
    </row>
    <row r="194" spans="1:20" s="1" customFormat="1" x14ac:dyDescent="0.2">
      <c r="A194" s="504"/>
      <c r="B194" s="358"/>
      <c r="C194" s="358"/>
      <c r="D194" s="358" t="s">
        <v>363</v>
      </c>
      <c r="E194" s="358"/>
      <c r="F194" s="358"/>
      <c r="G194" s="358"/>
      <c r="H194" s="24">
        <v>451</v>
      </c>
      <c r="I194" s="8" t="s">
        <v>160</v>
      </c>
      <c r="J194" s="12">
        <f>SUM(J195:J195)</f>
        <v>0</v>
      </c>
      <c r="K194" s="12">
        <f>SUM(K195:K195)</f>
        <v>0</v>
      </c>
      <c r="L194" s="12">
        <f>SUM(L195:L195)</f>
        <v>0</v>
      </c>
      <c r="M194" s="12" t="e">
        <f t="shared" ref="M194:R194" si="89">SUM(M195)</f>
        <v>#REF!</v>
      </c>
      <c r="N194" s="12" t="e">
        <f t="shared" si="89"/>
        <v>#REF!</v>
      </c>
      <c r="O194" s="12">
        <f t="shared" si="89"/>
        <v>50000</v>
      </c>
      <c r="P194" s="624" t="e">
        <f t="shared" si="89"/>
        <v>#REF!</v>
      </c>
      <c r="Q194" s="12">
        <f t="shared" si="89"/>
        <v>150000</v>
      </c>
      <c r="R194" s="12">
        <f t="shared" si="89"/>
        <v>0</v>
      </c>
      <c r="S194" s="48">
        <f>Q194/O194*100</f>
        <v>300</v>
      </c>
      <c r="T194" s="694">
        <f>R194/Q194*100</f>
        <v>0</v>
      </c>
    </row>
    <row r="195" spans="1:20" x14ac:dyDescent="0.2">
      <c r="A195" s="504" t="s">
        <v>477</v>
      </c>
      <c r="B195" s="358"/>
      <c r="C195" s="358"/>
      <c r="D195" s="358"/>
      <c r="E195" s="358"/>
      <c r="F195" s="358"/>
      <c r="G195" s="358"/>
      <c r="H195" s="25">
        <v>4511</v>
      </c>
      <c r="I195" s="15" t="s">
        <v>103</v>
      </c>
      <c r="J195" s="16">
        <v>0</v>
      </c>
      <c r="K195" s="16">
        <v>0</v>
      </c>
      <c r="L195" s="16">
        <v>0</v>
      </c>
      <c r="M195" s="16" t="e">
        <f>Posebni!#REF!+Posebni!#REF!</f>
        <v>#REF!</v>
      </c>
      <c r="N195" s="16" t="e">
        <f>Posebni!#REF!+Posebni!#REF!</f>
        <v>#REF!</v>
      </c>
      <c r="O195" s="16">
        <f>Posebni!I380+Posebni!I381</f>
        <v>50000</v>
      </c>
      <c r="P195" s="16" t="e">
        <f>Posebni!#REF!+Posebni!#REF!</f>
        <v>#REF!</v>
      </c>
      <c r="Q195" s="16">
        <f>Posebni!J380+Posebni!J381</f>
        <v>150000</v>
      </c>
      <c r="R195" s="16">
        <f>Posebni!K380+Posebni!K381</f>
        <v>0</v>
      </c>
      <c r="S195" s="48">
        <f>Q195/O195*100</f>
        <v>300</v>
      </c>
      <c r="T195" s="694">
        <f>R195/Q195*100</f>
        <v>0</v>
      </c>
    </row>
    <row r="196" spans="1:20" s="1" customFormat="1" x14ac:dyDescent="0.2">
      <c r="A196" s="504"/>
      <c r="B196" s="358"/>
      <c r="C196" s="358"/>
      <c r="D196" s="358"/>
      <c r="E196" s="358"/>
      <c r="F196" s="358"/>
      <c r="G196" s="358"/>
      <c r="H196" s="24">
        <v>454</v>
      </c>
      <c r="I196" s="5" t="s">
        <v>497</v>
      </c>
      <c r="J196" s="12">
        <f t="shared" ref="J196:R196" si="90">SUM(J197)</f>
        <v>0</v>
      </c>
      <c r="K196" s="12">
        <f t="shared" si="90"/>
        <v>0</v>
      </c>
      <c r="L196" s="12">
        <f t="shared" si="90"/>
        <v>0</v>
      </c>
      <c r="M196" s="12">
        <f t="shared" si="90"/>
        <v>0</v>
      </c>
      <c r="N196" s="12">
        <f t="shared" si="90"/>
        <v>0</v>
      </c>
      <c r="O196" s="12">
        <f t="shared" si="90"/>
        <v>481500</v>
      </c>
      <c r="P196" s="624" t="e">
        <f t="shared" si="90"/>
        <v>#REF!</v>
      </c>
      <c r="Q196" s="12">
        <f t="shared" si="90"/>
        <v>0</v>
      </c>
      <c r="R196" s="12">
        <f t="shared" si="90"/>
        <v>0</v>
      </c>
      <c r="S196" s="48">
        <v>0</v>
      </c>
      <c r="T196" s="694">
        <v>0</v>
      </c>
    </row>
    <row r="197" spans="1:20" x14ac:dyDescent="0.2">
      <c r="A197" s="507" t="s">
        <v>477</v>
      </c>
      <c r="B197" s="373"/>
      <c r="C197" s="373"/>
      <c r="D197" s="373"/>
      <c r="E197" s="373"/>
      <c r="F197" s="373"/>
      <c r="G197" s="373"/>
      <c r="H197" s="374">
        <v>4541</v>
      </c>
      <c r="I197" s="375" t="s">
        <v>497</v>
      </c>
      <c r="J197" s="376">
        <v>0</v>
      </c>
      <c r="K197" s="376">
        <v>0</v>
      </c>
      <c r="L197" s="376">
        <v>0</v>
      </c>
      <c r="M197" s="376">
        <v>0</v>
      </c>
      <c r="N197" s="376">
        <v>0</v>
      </c>
      <c r="O197" s="376">
        <f>Posebni!I506+Posebni!I507+Posebni!I513+Posebni!I514</f>
        <v>481500</v>
      </c>
      <c r="P197" s="376" t="e">
        <f>Posebni!#REF!+Posebni!#REF!+Posebni!#REF!+Posebni!#REF!</f>
        <v>#REF!</v>
      </c>
      <c r="Q197" s="376">
        <f>Posebni!J506+Posebni!J507+Posebni!J513+Posebni!J514</f>
        <v>0</v>
      </c>
      <c r="R197" s="376">
        <f>Posebni!K506+Posebni!K507+Posebni!K513+Posebni!K514</f>
        <v>0</v>
      </c>
      <c r="S197" s="823">
        <v>0</v>
      </c>
      <c r="T197" s="824">
        <v>0</v>
      </c>
    </row>
    <row r="198" spans="1:20" x14ac:dyDescent="0.2">
      <c r="A198" s="510"/>
      <c r="B198" s="365"/>
      <c r="C198" s="365"/>
      <c r="D198" s="365"/>
      <c r="E198" s="365"/>
      <c r="F198" s="365"/>
      <c r="G198" s="365"/>
      <c r="H198" s="18"/>
      <c r="I198" s="19"/>
      <c r="J198" s="20"/>
      <c r="K198" s="20"/>
      <c r="L198" s="20"/>
      <c r="M198" s="20"/>
      <c r="N198" s="20"/>
      <c r="O198" s="20"/>
      <c r="P198" s="634"/>
      <c r="Q198" s="20"/>
      <c r="R198" s="20"/>
      <c r="S198" s="372"/>
      <c r="T198" s="51"/>
    </row>
    <row r="199" spans="1:20" s="42" customFormat="1" ht="13.5" thickBot="1" x14ac:dyDescent="0.25">
      <c r="A199" s="547"/>
      <c r="B199" s="548"/>
      <c r="C199" s="548"/>
      <c r="D199" s="548"/>
      <c r="E199" s="548"/>
      <c r="F199" s="548"/>
      <c r="G199" s="548"/>
      <c r="H199" s="29" t="s">
        <v>5</v>
      </c>
      <c r="I199" s="549"/>
      <c r="J199" s="550"/>
      <c r="K199" s="550"/>
      <c r="L199" s="550"/>
      <c r="M199" s="550"/>
      <c r="N199" s="550"/>
      <c r="O199" s="158"/>
      <c r="P199" s="635"/>
      <c r="Q199" s="158"/>
      <c r="R199" s="158"/>
      <c r="T199" s="551"/>
    </row>
    <row r="200" spans="1:20" s="69" customFormat="1" x14ac:dyDescent="0.2">
      <c r="A200" s="511"/>
      <c r="B200" s="370"/>
      <c r="C200" s="370"/>
      <c r="D200" s="370"/>
      <c r="E200" s="370"/>
      <c r="F200" s="370"/>
      <c r="G200" s="370"/>
      <c r="H200" s="64">
        <v>8</v>
      </c>
      <c r="I200" s="65" t="s">
        <v>6</v>
      </c>
      <c r="J200" s="66">
        <f t="shared" ref="J200:R200" si="91">SUM(J201+J204)</f>
        <v>2721893</v>
      </c>
      <c r="K200" s="66">
        <f t="shared" si="91"/>
        <v>0</v>
      </c>
      <c r="L200" s="66">
        <f t="shared" si="91"/>
        <v>0</v>
      </c>
      <c r="M200" s="66">
        <f t="shared" si="91"/>
        <v>0</v>
      </c>
      <c r="N200" s="66">
        <f t="shared" si="91"/>
        <v>0</v>
      </c>
      <c r="O200" s="675">
        <f t="shared" si="91"/>
        <v>0</v>
      </c>
      <c r="P200" s="636">
        <f t="shared" si="91"/>
        <v>0</v>
      </c>
      <c r="Q200" s="675">
        <f t="shared" si="91"/>
        <v>0</v>
      </c>
      <c r="R200" s="675">
        <f t="shared" si="91"/>
        <v>0</v>
      </c>
      <c r="S200" s="67">
        <v>0</v>
      </c>
      <c r="T200" s="68">
        <v>0</v>
      </c>
    </row>
    <row r="201" spans="1:20" s="84" customFormat="1" x14ac:dyDescent="0.2">
      <c r="A201" s="505"/>
      <c r="B201" s="368"/>
      <c r="C201" s="368"/>
      <c r="D201" s="368"/>
      <c r="E201" s="368"/>
      <c r="F201" s="368"/>
      <c r="G201" s="368"/>
      <c r="H201" s="90">
        <v>81</v>
      </c>
      <c r="I201" s="86" t="s">
        <v>122</v>
      </c>
      <c r="J201" s="87">
        <f>SUM(J202)</f>
        <v>0</v>
      </c>
      <c r="K201" s="87">
        <f t="shared" ref="K201:R202" si="92">SUM(K202)</f>
        <v>0</v>
      </c>
      <c r="L201" s="87">
        <f t="shared" si="92"/>
        <v>0</v>
      </c>
      <c r="M201" s="87">
        <f t="shared" si="92"/>
        <v>0</v>
      </c>
      <c r="N201" s="87">
        <f t="shared" si="92"/>
        <v>0</v>
      </c>
      <c r="O201" s="87">
        <f t="shared" si="92"/>
        <v>0</v>
      </c>
      <c r="P201" s="632">
        <f t="shared" si="92"/>
        <v>0</v>
      </c>
      <c r="Q201" s="87">
        <f t="shared" si="92"/>
        <v>0</v>
      </c>
      <c r="R201" s="87">
        <f t="shared" si="92"/>
        <v>0</v>
      </c>
      <c r="S201" s="82">
        <v>0</v>
      </c>
      <c r="T201" s="83">
        <v>0</v>
      </c>
    </row>
    <row r="202" spans="1:20" s="1" customFormat="1" ht="22.5" x14ac:dyDescent="0.2">
      <c r="A202" s="504"/>
      <c r="B202" s="358"/>
      <c r="C202" s="358"/>
      <c r="D202" s="358"/>
      <c r="E202" s="358"/>
      <c r="F202" s="358"/>
      <c r="G202" s="358"/>
      <c r="H202" s="349">
        <v>815</v>
      </c>
      <c r="I202" s="8" t="s">
        <v>161</v>
      </c>
      <c r="J202" s="12">
        <f>SUM(J203)</f>
        <v>0</v>
      </c>
      <c r="K202" s="12">
        <f t="shared" si="92"/>
        <v>0</v>
      </c>
      <c r="L202" s="12">
        <f t="shared" si="92"/>
        <v>0</v>
      </c>
      <c r="M202" s="12">
        <f t="shared" si="92"/>
        <v>0</v>
      </c>
      <c r="N202" s="12">
        <f t="shared" si="92"/>
        <v>0</v>
      </c>
      <c r="O202" s="12">
        <f t="shared" si="92"/>
        <v>0</v>
      </c>
      <c r="P202" s="631">
        <f t="shared" si="92"/>
        <v>0</v>
      </c>
      <c r="Q202" s="12">
        <f t="shared" si="92"/>
        <v>0</v>
      </c>
      <c r="R202" s="12">
        <f t="shared" si="92"/>
        <v>0</v>
      </c>
      <c r="S202" s="49">
        <v>0</v>
      </c>
      <c r="T202" s="50"/>
    </row>
    <row r="203" spans="1:20" s="2" customFormat="1" x14ac:dyDescent="0.2">
      <c r="A203" s="504"/>
      <c r="B203" s="358"/>
      <c r="C203" s="358"/>
      <c r="D203" s="358"/>
      <c r="E203" s="358"/>
      <c r="F203" s="358"/>
      <c r="G203" s="358"/>
      <c r="H203" s="37">
        <v>8151</v>
      </c>
      <c r="I203" s="47" t="s">
        <v>123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622">
        <v>0</v>
      </c>
      <c r="Q203" s="16">
        <v>0</v>
      </c>
      <c r="R203" s="16">
        <v>0</v>
      </c>
      <c r="S203" s="49">
        <v>0</v>
      </c>
      <c r="T203" s="50"/>
    </row>
    <row r="204" spans="1:20" s="84" customFormat="1" x14ac:dyDescent="0.2">
      <c r="A204" s="505"/>
      <c r="B204" s="368"/>
      <c r="C204" s="368"/>
      <c r="D204" s="368"/>
      <c r="E204" s="368"/>
      <c r="F204" s="368"/>
      <c r="G204" s="368"/>
      <c r="H204" s="90">
        <v>84</v>
      </c>
      <c r="I204" s="86" t="s">
        <v>104</v>
      </c>
      <c r="J204" s="87">
        <f t="shared" ref="J204:R205" si="93">SUM(J205)</f>
        <v>2721893</v>
      </c>
      <c r="K204" s="87">
        <f t="shared" si="93"/>
        <v>0</v>
      </c>
      <c r="L204" s="87">
        <f t="shared" si="93"/>
        <v>0</v>
      </c>
      <c r="M204" s="87">
        <f t="shared" si="93"/>
        <v>0</v>
      </c>
      <c r="N204" s="87">
        <f t="shared" si="93"/>
        <v>0</v>
      </c>
      <c r="O204" s="87">
        <f t="shared" si="93"/>
        <v>0</v>
      </c>
      <c r="P204" s="632">
        <f t="shared" si="93"/>
        <v>0</v>
      </c>
      <c r="Q204" s="87">
        <f t="shared" si="93"/>
        <v>0</v>
      </c>
      <c r="R204" s="87">
        <f t="shared" si="93"/>
        <v>0</v>
      </c>
      <c r="S204" s="82">
        <v>0</v>
      </c>
      <c r="T204" s="83">
        <v>0</v>
      </c>
    </row>
    <row r="205" spans="1:20" s="1" customFormat="1" ht="22.5" x14ac:dyDescent="0.2">
      <c r="A205" s="504"/>
      <c r="B205" s="358"/>
      <c r="C205" s="358"/>
      <c r="D205" s="358"/>
      <c r="E205" s="358"/>
      <c r="F205" s="358"/>
      <c r="G205" s="358"/>
      <c r="H205" s="349">
        <v>844</v>
      </c>
      <c r="I205" s="8" t="s">
        <v>115</v>
      </c>
      <c r="J205" s="12">
        <f t="shared" si="93"/>
        <v>2721893</v>
      </c>
      <c r="K205" s="12">
        <f t="shared" si="93"/>
        <v>0</v>
      </c>
      <c r="L205" s="12">
        <f t="shared" si="93"/>
        <v>0</v>
      </c>
      <c r="M205" s="12">
        <f t="shared" si="93"/>
        <v>0</v>
      </c>
      <c r="N205" s="12">
        <f t="shared" si="93"/>
        <v>0</v>
      </c>
      <c r="O205" s="12">
        <f t="shared" si="93"/>
        <v>0</v>
      </c>
      <c r="P205" s="631">
        <f t="shared" si="93"/>
        <v>0</v>
      </c>
      <c r="Q205" s="12">
        <f t="shared" si="93"/>
        <v>0</v>
      </c>
      <c r="R205" s="12">
        <f t="shared" si="93"/>
        <v>0</v>
      </c>
      <c r="S205" s="49">
        <v>0</v>
      </c>
      <c r="T205" s="50"/>
    </row>
    <row r="206" spans="1:20" s="2" customFormat="1" ht="22.5" x14ac:dyDescent="0.2">
      <c r="A206" s="504"/>
      <c r="B206" s="358"/>
      <c r="C206" s="358"/>
      <c r="D206" s="358"/>
      <c r="E206" s="358"/>
      <c r="F206" s="358"/>
      <c r="G206" s="358"/>
      <c r="H206" s="37">
        <v>8443</v>
      </c>
      <c r="I206" s="15" t="s">
        <v>116</v>
      </c>
      <c r="J206" s="16">
        <v>2721893</v>
      </c>
      <c r="K206" s="16">
        <v>0</v>
      </c>
      <c r="L206" s="16">
        <v>0</v>
      </c>
      <c r="M206" s="16"/>
      <c r="N206" s="16"/>
      <c r="O206" s="16"/>
      <c r="P206" s="622"/>
      <c r="Q206" s="16"/>
      <c r="R206" s="16"/>
      <c r="S206" s="49">
        <v>0</v>
      </c>
      <c r="T206" s="50"/>
    </row>
    <row r="207" spans="1:20" s="63" customFormat="1" ht="13.5" thickBot="1" x14ac:dyDescent="0.25">
      <c r="A207" s="508"/>
      <c r="B207" s="369"/>
      <c r="C207" s="369"/>
      <c r="D207" s="369"/>
      <c r="E207" s="369"/>
      <c r="F207" s="369"/>
      <c r="G207" s="369"/>
      <c r="H207" s="70">
        <v>5</v>
      </c>
      <c r="I207" s="71" t="s">
        <v>162</v>
      </c>
      <c r="J207" s="62">
        <f t="shared" ref="J207:R207" si="94">SUM(J208,J211)</f>
        <v>0</v>
      </c>
      <c r="K207" s="62">
        <f t="shared" si="94"/>
        <v>0</v>
      </c>
      <c r="L207" s="62">
        <f t="shared" si="94"/>
        <v>0</v>
      </c>
      <c r="M207" s="62" t="e">
        <f t="shared" si="94"/>
        <v>#REF!</v>
      </c>
      <c r="N207" s="62" t="e">
        <f t="shared" si="94"/>
        <v>#REF!</v>
      </c>
      <c r="O207" s="62">
        <f t="shared" si="94"/>
        <v>0</v>
      </c>
      <c r="P207" s="633" t="e">
        <f t="shared" si="94"/>
        <v>#REF!</v>
      </c>
      <c r="Q207" s="62">
        <f t="shared" si="94"/>
        <v>0</v>
      </c>
      <c r="R207" s="62">
        <f t="shared" si="94"/>
        <v>0</v>
      </c>
      <c r="S207" s="72">
        <v>0</v>
      </c>
      <c r="T207" s="73">
        <v>0</v>
      </c>
    </row>
    <row r="208" spans="1:20" s="84" customFormat="1" x14ac:dyDescent="0.2">
      <c r="A208" s="503"/>
      <c r="B208" s="367"/>
      <c r="C208" s="367"/>
      <c r="D208" s="367"/>
      <c r="E208" s="367"/>
      <c r="F208" s="367"/>
      <c r="G208" s="367"/>
      <c r="H208" s="91">
        <v>51</v>
      </c>
      <c r="I208" s="79" t="s">
        <v>124</v>
      </c>
      <c r="J208" s="80">
        <f t="shared" ref="J208:R209" si="95">SUM(J209)</f>
        <v>0</v>
      </c>
      <c r="K208" s="80">
        <f t="shared" si="95"/>
        <v>0</v>
      </c>
      <c r="L208" s="80">
        <f t="shared" si="95"/>
        <v>0</v>
      </c>
      <c r="M208" s="80">
        <f t="shared" si="95"/>
        <v>0</v>
      </c>
      <c r="N208" s="80">
        <f t="shared" si="95"/>
        <v>0</v>
      </c>
      <c r="O208" s="80">
        <f t="shared" si="95"/>
        <v>0</v>
      </c>
      <c r="P208" s="630">
        <f t="shared" si="95"/>
        <v>0</v>
      </c>
      <c r="Q208" s="80">
        <f t="shared" si="95"/>
        <v>0</v>
      </c>
      <c r="R208" s="80">
        <f t="shared" si="95"/>
        <v>0</v>
      </c>
      <c r="S208" s="82">
        <v>0</v>
      </c>
      <c r="T208" s="83">
        <v>0</v>
      </c>
    </row>
    <row r="209" spans="1:20" s="2" customFormat="1" x14ac:dyDescent="0.2">
      <c r="A209" s="504"/>
      <c r="B209" s="358"/>
      <c r="C209" s="358"/>
      <c r="D209" s="358"/>
      <c r="E209" s="358"/>
      <c r="F209" s="358"/>
      <c r="G209" s="358"/>
      <c r="H209" s="349">
        <v>515</v>
      </c>
      <c r="I209" s="5" t="s">
        <v>125</v>
      </c>
      <c r="J209" s="12">
        <f t="shared" si="95"/>
        <v>0</v>
      </c>
      <c r="K209" s="12">
        <f t="shared" si="95"/>
        <v>0</v>
      </c>
      <c r="L209" s="12">
        <f t="shared" si="95"/>
        <v>0</v>
      </c>
      <c r="M209" s="12">
        <f t="shared" si="95"/>
        <v>0</v>
      </c>
      <c r="N209" s="12">
        <f t="shared" si="95"/>
        <v>0</v>
      </c>
      <c r="O209" s="12">
        <f t="shared" si="95"/>
        <v>0</v>
      </c>
      <c r="P209" s="631">
        <f t="shared" si="95"/>
        <v>0</v>
      </c>
      <c r="Q209" s="12">
        <f t="shared" si="95"/>
        <v>0</v>
      </c>
      <c r="R209" s="12">
        <f t="shared" si="95"/>
        <v>0</v>
      </c>
      <c r="S209" s="49">
        <v>0</v>
      </c>
      <c r="T209" s="50"/>
    </row>
    <row r="210" spans="1:20" s="2" customFormat="1" x14ac:dyDescent="0.2">
      <c r="A210" s="504"/>
      <c r="B210" s="358"/>
      <c r="C210" s="358"/>
      <c r="D210" s="358"/>
      <c r="E210" s="358"/>
      <c r="F210" s="358"/>
      <c r="G210" s="358"/>
      <c r="H210" s="37">
        <v>5151</v>
      </c>
      <c r="I210" s="15" t="s">
        <v>126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622">
        <v>0</v>
      </c>
      <c r="Q210" s="16">
        <v>0</v>
      </c>
      <c r="R210" s="16">
        <v>0</v>
      </c>
      <c r="S210" s="49">
        <v>0</v>
      </c>
      <c r="T210" s="50"/>
    </row>
    <row r="211" spans="1:20" s="84" customFormat="1" x14ac:dyDescent="0.2">
      <c r="A211" s="505"/>
      <c r="B211" s="368"/>
      <c r="C211" s="368"/>
      <c r="D211" s="368"/>
      <c r="E211" s="368"/>
      <c r="F211" s="368"/>
      <c r="G211" s="368"/>
      <c r="H211" s="90">
        <v>54</v>
      </c>
      <c r="I211" s="89" t="s">
        <v>105</v>
      </c>
      <c r="J211" s="87">
        <f t="shared" ref="J211:R211" si="96">SUM(J212+J214)</f>
        <v>0</v>
      </c>
      <c r="K211" s="87">
        <f t="shared" si="96"/>
        <v>0</v>
      </c>
      <c r="L211" s="87">
        <f t="shared" si="96"/>
        <v>0</v>
      </c>
      <c r="M211" s="87" t="e">
        <f t="shared" si="96"/>
        <v>#REF!</v>
      </c>
      <c r="N211" s="87" t="e">
        <f t="shared" si="96"/>
        <v>#REF!</v>
      </c>
      <c r="O211" s="87">
        <f t="shared" si="96"/>
        <v>0</v>
      </c>
      <c r="P211" s="632" t="e">
        <f t="shared" si="96"/>
        <v>#REF!</v>
      </c>
      <c r="Q211" s="87">
        <f t="shared" si="96"/>
        <v>0</v>
      </c>
      <c r="R211" s="87">
        <f t="shared" si="96"/>
        <v>0</v>
      </c>
      <c r="S211" s="82">
        <v>0</v>
      </c>
      <c r="T211" s="83">
        <v>0</v>
      </c>
    </row>
    <row r="212" spans="1:20" s="1" customFormat="1" ht="22.5" x14ac:dyDescent="0.2">
      <c r="A212" s="504"/>
      <c r="B212" s="358"/>
      <c r="C212" s="358"/>
      <c r="D212" s="358"/>
      <c r="E212" s="358"/>
      <c r="F212" s="358"/>
      <c r="G212" s="358"/>
      <c r="H212" s="349">
        <v>543</v>
      </c>
      <c r="I212" s="8" t="s">
        <v>118</v>
      </c>
      <c r="J212" s="12">
        <f t="shared" ref="J212:R212" si="97">SUM(J213)</f>
        <v>0</v>
      </c>
      <c r="K212" s="12">
        <f t="shared" si="97"/>
        <v>0</v>
      </c>
      <c r="L212" s="12">
        <f t="shared" si="97"/>
        <v>0</v>
      </c>
      <c r="M212" s="12">
        <f t="shared" si="97"/>
        <v>0</v>
      </c>
      <c r="N212" s="12">
        <f t="shared" si="97"/>
        <v>0</v>
      </c>
      <c r="O212" s="12">
        <f t="shared" si="97"/>
        <v>0</v>
      </c>
      <c r="P212" s="631">
        <f t="shared" si="97"/>
        <v>0</v>
      </c>
      <c r="Q212" s="12">
        <f t="shared" si="97"/>
        <v>0</v>
      </c>
      <c r="R212" s="12">
        <f t="shared" si="97"/>
        <v>0</v>
      </c>
      <c r="S212" s="49">
        <v>0</v>
      </c>
      <c r="T212" s="50"/>
    </row>
    <row r="213" spans="1:20" s="2" customFormat="1" ht="22.5" x14ac:dyDescent="0.2">
      <c r="A213" s="504"/>
      <c r="B213" s="358"/>
      <c r="C213" s="358"/>
      <c r="D213" s="358"/>
      <c r="E213" s="358"/>
      <c r="F213" s="358"/>
      <c r="G213" s="358"/>
      <c r="H213" s="37">
        <v>5431</v>
      </c>
      <c r="I213" s="15" t="s">
        <v>118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622">
        <v>0</v>
      </c>
      <c r="Q213" s="16">
        <v>0</v>
      </c>
      <c r="R213" s="16">
        <v>0</v>
      </c>
      <c r="S213" s="49">
        <v>0</v>
      </c>
      <c r="T213" s="50"/>
    </row>
    <row r="214" spans="1:20" s="1" customFormat="1" ht="22.5" x14ac:dyDescent="0.2">
      <c r="A214" s="504"/>
      <c r="B214" s="358"/>
      <c r="C214" s="358"/>
      <c r="D214" s="358"/>
      <c r="E214" s="358"/>
      <c r="F214" s="358"/>
      <c r="G214" s="358"/>
      <c r="H214" s="349">
        <v>545</v>
      </c>
      <c r="I214" s="8" t="s">
        <v>441</v>
      </c>
      <c r="J214" s="12">
        <f t="shared" ref="J214:R214" si="98">SUM(J215)</f>
        <v>0</v>
      </c>
      <c r="K214" s="12">
        <f t="shared" si="98"/>
        <v>0</v>
      </c>
      <c r="L214" s="12">
        <f t="shared" si="98"/>
        <v>0</v>
      </c>
      <c r="M214" s="12" t="e">
        <f t="shared" si="98"/>
        <v>#REF!</v>
      </c>
      <c r="N214" s="12" t="e">
        <f t="shared" si="98"/>
        <v>#REF!</v>
      </c>
      <c r="O214" s="12">
        <f t="shared" si="98"/>
        <v>0</v>
      </c>
      <c r="P214" s="631" t="e">
        <f t="shared" si="98"/>
        <v>#REF!</v>
      </c>
      <c r="Q214" s="12">
        <f t="shared" si="98"/>
        <v>0</v>
      </c>
      <c r="R214" s="12">
        <f t="shared" si="98"/>
        <v>0</v>
      </c>
      <c r="S214" s="49">
        <v>0</v>
      </c>
      <c r="T214" s="50"/>
    </row>
    <row r="215" spans="1:20" s="128" customFormat="1" ht="23.25" thickBot="1" x14ac:dyDescent="0.25">
      <c r="A215" s="509"/>
      <c r="B215" s="471"/>
      <c r="C215" s="471"/>
      <c r="D215" s="471"/>
      <c r="E215" s="471"/>
      <c r="F215" s="471"/>
      <c r="G215" s="471"/>
      <c r="H215" s="472">
        <v>5453</v>
      </c>
      <c r="I215" s="473" t="s">
        <v>441</v>
      </c>
      <c r="J215" s="474">
        <v>0</v>
      </c>
      <c r="K215" s="474">
        <v>0</v>
      </c>
      <c r="L215" s="474">
        <v>0</v>
      </c>
      <c r="M215" s="474" t="e">
        <f>Posebni!#REF!</f>
        <v>#REF!</v>
      </c>
      <c r="N215" s="474" t="e">
        <f>Posebni!#REF!</f>
        <v>#REF!</v>
      </c>
      <c r="O215" s="474">
        <v>0</v>
      </c>
      <c r="P215" s="637" t="e">
        <f>Posebni!#REF!</f>
        <v>#REF!</v>
      </c>
      <c r="Q215" s="474">
        <v>0</v>
      </c>
      <c r="R215" s="474">
        <v>0</v>
      </c>
      <c r="S215" s="475">
        <v>0</v>
      </c>
      <c r="T215" s="476"/>
    </row>
    <row r="216" spans="1:20" s="2" customFormat="1" x14ac:dyDescent="0.2">
      <c r="A216" s="510"/>
      <c r="B216" s="365"/>
      <c r="C216" s="365"/>
      <c r="D216" s="365"/>
      <c r="E216" s="365"/>
      <c r="F216" s="365"/>
      <c r="G216" s="365"/>
      <c r="H216" s="18"/>
      <c r="I216" s="19"/>
      <c r="J216" s="20"/>
      <c r="K216" s="20"/>
      <c r="L216" s="20"/>
      <c r="M216" s="20"/>
      <c r="N216" s="20"/>
      <c r="O216" s="20"/>
      <c r="P216" s="634"/>
      <c r="Q216" s="20"/>
      <c r="R216" s="20"/>
      <c r="S216" s="21"/>
      <c r="T216" s="22"/>
    </row>
    <row r="217" spans="1:20" s="2" customFormat="1" x14ac:dyDescent="0.2">
      <c r="A217" s="510"/>
      <c r="B217" s="365"/>
      <c r="C217" s="365"/>
      <c r="D217" s="365"/>
      <c r="E217" s="365"/>
      <c r="F217" s="365"/>
      <c r="G217" s="365"/>
      <c r="H217" s="18"/>
      <c r="I217" s="19"/>
      <c r="J217" s="23"/>
      <c r="K217" s="23"/>
      <c r="L217" s="23"/>
      <c r="M217" s="23"/>
      <c r="N217" s="23"/>
      <c r="O217" s="23"/>
      <c r="P217" s="638"/>
      <c r="Q217" s="23"/>
      <c r="R217" s="23"/>
      <c r="S217" s="21"/>
      <c r="T217" s="22"/>
    </row>
    <row r="218" spans="1:20" s="42" customFormat="1" ht="13.5" thickBot="1" x14ac:dyDescent="0.25">
      <c r="A218" s="547"/>
      <c r="B218" s="548"/>
      <c r="C218" s="548"/>
      <c r="D218" s="548"/>
      <c r="E218" s="548"/>
      <c r="F218" s="548"/>
      <c r="G218" s="548"/>
      <c r="H218" s="29" t="s">
        <v>106</v>
      </c>
      <c r="I218" s="549"/>
      <c r="J218" s="550"/>
      <c r="K218" s="550"/>
      <c r="L218" s="550"/>
      <c r="M218" s="550"/>
      <c r="N218" s="550"/>
      <c r="O218" s="158"/>
      <c r="P218" s="635"/>
      <c r="Q218" s="158"/>
      <c r="R218" s="158"/>
      <c r="T218" s="551"/>
    </row>
    <row r="219" spans="1:20" s="69" customFormat="1" x14ac:dyDescent="0.2">
      <c r="A219" s="511"/>
      <c r="B219" s="370"/>
      <c r="C219" s="370"/>
      <c r="D219" s="370"/>
      <c r="E219" s="370"/>
      <c r="F219" s="370"/>
      <c r="G219" s="370"/>
      <c r="H219" s="74">
        <v>9</v>
      </c>
      <c r="I219" s="75" t="s">
        <v>8</v>
      </c>
      <c r="J219" s="66">
        <f t="shared" ref="J219:R220" si="99">SUM(J220)</f>
        <v>610476</v>
      </c>
      <c r="K219" s="66">
        <f t="shared" si="99"/>
        <v>0</v>
      </c>
      <c r="L219" s="66">
        <f t="shared" si="99"/>
        <v>0</v>
      </c>
      <c r="M219" s="66">
        <f t="shared" si="99"/>
        <v>0</v>
      </c>
      <c r="N219" s="66">
        <f t="shared" si="99"/>
        <v>0</v>
      </c>
      <c r="O219" s="675">
        <f t="shared" si="99"/>
        <v>660000</v>
      </c>
      <c r="P219" s="675">
        <f t="shared" si="99"/>
        <v>0</v>
      </c>
      <c r="Q219" s="675">
        <f t="shared" si="99"/>
        <v>265000</v>
      </c>
      <c r="R219" s="675">
        <f t="shared" si="99"/>
        <v>145000</v>
      </c>
      <c r="S219" s="76">
        <f>Q219/O219*100</f>
        <v>40.151515151515149</v>
      </c>
      <c r="T219" s="76">
        <f>R219/Q219*100</f>
        <v>54.716981132075468</v>
      </c>
    </row>
    <row r="220" spans="1:20" s="84" customFormat="1" x14ac:dyDescent="0.2">
      <c r="A220" s="505"/>
      <c r="B220" s="368"/>
      <c r="C220" s="368"/>
      <c r="D220" s="368"/>
      <c r="E220" s="368"/>
      <c r="F220" s="368"/>
      <c r="G220" s="368"/>
      <c r="H220" s="85">
        <v>92</v>
      </c>
      <c r="I220" s="86" t="s">
        <v>107</v>
      </c>
      <c r="J220" s="87">
        <f t="shared" si="99"/>
        <v>610476</v>
      </c>
      <c r="K220" s="87">
        <f t="shared" si="99"/>
        <v>0</v>
      </c>
      <c r="L220" s="87">
        <f t="shared" si="99"/>
        <v>0</v>
      </c>
      <c r="M220" s="87">
        <f t="shared" si="99"/>
        <v>0</v>
      </c>
      <c r="N220" s="87">
        <f t="shared" si="99"/>
        <v>0</v>
      </c>
      <c r="O220" s="87">
        <f t="shared" si="99"/>
        <v>660000</v>
      </c>
      <c r="P220" s="87">
        <f t="shared" si="99"/>
        <v>0</v>
      </c>
      <c r="Q220" s="87">
        <f t="shared" si="99"/>
        <v>265000</v>
      </c>
      <c r="R220" s="87">
        <f t="shared" si="99"/>
        <v>145000</v>
      </c>
      <c r="S220" s="81">
        <f>Q220/O220*100</f>
        <v>40.151515151515149</v>
      </c>
      <c r="T220" s="693">
        <f>R220/Q220*100</f>
        <v>54.716981132075468</v>
      </c>
    </row>
    <row r="221" spans="1:20" s="1" customFormat="1" x14ac:dyDescent="0.2">
      <c r="A221" s="504"/>
      <c r="B221" s="358"/>
      <c r="C221" s="358"/>
      <c r="D221" s="358"/>
      <c r="E221" s="358"/>
      <c r="F221" s="358"/>
      <c r="G221" s="358"/>
      <c r="H221" s="24">
        <v>922</v>
      </c>
      <c r="I221" s="8" t="s">
        <v>108</v>
      </c>
      <c r="J221" s="12">
        <f t="shared" ref="J221:P221" si="100">SUM(J222+J223)</f>
        <v>610476</v>
      </c>
      <c r="K221" s="12">
        <f t="shared" si="100"/>
        <v>0</v>
      </c>
      <c r="L221" s="12">
        <f t="shared" si="100"/>
        <v>0</v>
      </c>
      <c r="M221" s="12">
        <f t="shared" si="100"/>
        <v>0</v>
      </c>
      <c r="N221" s="12">
        <f t="shared" si="100"/>
        <v>0</v>
      </c>
      <c r="O221" s="12">
        <f t="shared" si="100"/>
        <v>660000</v>
      </c>
      <c r="P221" s="624">
        <f t="shared" si="100"/>
        <v>0</v>
      </c>
      <c r="Q221" s="12">
        <f>SUM(Q222+Q223)</f>
        <v>265000</v>
      </c>
      <c r="R221" s="12">
        <f>SUM(R222+R223)</f>
        <v>145000</v>
      </c>
      <c r="S221" s="52">
        <f>K221/J221*100</f>
        <v>0</v>
      </c>
      <c r="T221" s="52">
        <f t="shared" ref="T221:T223" si="101">R221/Q221*100</f>
        <v>54.716981132075468</v>
      </c>
    </row>
    <row r="222" spans="1:20" s="42" customFormat="1" x14ac:dyDescent="0.2">
      <c r="A222" s="512"/>
      <c r="B222" s="38"/>
      <c r="C222" s="38"/>
      <c r="D222" s="38"/>
      <c r="E222" s="38"/>
      <c r="F222" s="38"/>
      <c r="G222" s="38"/>
      <c r="H222" s="39">
        <v>9221</v>
      </c>
      <c r="I222" s="40" t="s">
        <v>403</v>
      </c>
      <c r="J222" s="41">
        <v>610476</v>
      </c>
      <c r="K222" s="41">
        <v>0</v>
      </c>
      <c r="L222" s="41">
        <v>0</v>
      </c>
      <c r="M222" s="41">
        <v>0</v>
      </c>
      <c r="N222" s="41">
        <v>0</v>
      </c>
      <c r="O222" s="16">
        <v>660000</v>
      </c>
      <c r="P222" s="644">
        <f t="shared" ref="P222" si="102">SUM(P413)</f>
        <v>0</v>
      </c>
      <c r="Q222" s="16">
        <v>265000</v>
      </c>
      <c r="R222" s="16">
        <v>145000</v>
      </c>
      <c r="S222" s="52">
        <v>0</v>
      </c>
      <c r="T222" s="52">
        <f t="shared" si="101"/>
        <v>54.716981132075468</v>
      </c>
    </row>
    <row r="223" spans="1:20" ht="13.5" thickBot="1" x14ac:dyDescent="0.25">
      <c r="A223" s="513"/>
      <c r="B223" s="268"/>
      <c r="C223" s="268"/>
      <c r="D223" s="268"/>
      <c r="E223" s="268"/>
      <c r="F223" s="268"/>
      <c r="G223" s="268"/>
      <c r="H223" s="32">
        <v>9222</v>
      </c>
      <c r="I223" s="33" t="s">
        <v>404</v>
      </c>
      <c r="J223" s="34">
        <v>0</v>
      </c>
      <c r="K223" s="34">
        <v>0</v>
      </c>
      <c r="L223" s="34">
        <v>0</v>
      </c>
      <c r="M223" s="34">
        <v>0</v>
      </c>
      <c r="N223" s="34">
        <v>0</v>
      </c>
      <c r="O223" s="34">
        <v>0</v>
      </c>
      <c r="P223" s="623">
        <v>0</v>
      </c>
      <c r="Q223" s="34">
        <v>0</v>
      </c>
      <c r="R223" s="34">
        <v>0</v>
      </c>
      <c r="S223" s="54">
        <v>0</v>
      </c>
      <c r="T223" s="52" t="e">
        <f t="shared" si="101"/>
        <v>#DIV/0!</v>
      </c>
    </row>
    <row r="224" spans="1:20" x14ac:dyDescent="0.2">
      <c r="I224" s="4"/>
      <c r="K224" s="3"/>
    </row>
    <row r="225" spans="8:19" ht="15.75" x14ac:dyDescent="0.2">
      <c r="H225" s="651"/>
      <c r="I225" s="4"/>
      <c r="K225" s="3"/>
    </row>
    <row r="226" spans="8:19" x14ac:dyDescent="0.2">
      <c r="I226" s="4"/>
      <c r="K226" s="3"/>
    </row>
    <row r="227" spans="8:19" s="498" customFormat="1" ht="12" x14ac:dyDescent="0.2">
      <c r="H227" s="499" t="s">
        <v>451</v>
      </c>
      <c r="I227" s="500"/>
      <c r="K227" s="501"/>
      <c r="O227" s="199"/>
      <c r="P227" s="639"/>
      <c r="Q227" s="199"/>
      <c r="R227" s="199"/>
    </row>
    <row r="228" spans="8:19" s="498" customFormat="1" ht="12" x14ac:dyDescent="0.2">
      <c r="I228" s="498" t="s">
        <v>444</v>
      </c>
      <c r="O228" s="199"/>
      <c r="P228" s="639"/>
      <c r="Q228" s="199"/>
      <c r="R228" s="199"/>
    </row>
    <row r="229" spans="8:19" s="498" customFormat="1" ht="12" x14ac:dyDescent="0.2">
      <c r="I229" s="498" t="s">
        <v>445</v>
      </c>
      <c r="O229" s="199"/>
      <c r="P229" s="639"/>
      <c r="Q229" s="199"/>
      <c r="R229" s="199"/>
    </row>
    <row r="230" spans="8:19" s="498" customFormat="1" ht="12" x14ac:dyDescent="0.2">
      <c r="I230" s="498" t="s">
        <v>446</v>
      </c>
      <c r="O230" s="199"/>
      <c r="P230" s="639"/>
      <c r="Q230" s="199"/>
      <c r="R230" s="199"/>
    </row>
    <row r="231" spans="8:19" s="498" customFormat="1" ht="12" x14ac:dyDescent="0.2">
      <c r="I231" s="498" t="s">
        <v>447</v>
      </c>
      <c r="O231" s="199"/>
      <c r="P231" s="639"/>
      <c r="Q231" s="199"/>
      <c r="R231" s="199"/>
    </row>
    <row r="232" spans="8:19" s="498" customFormat="1" ht="12" x14ac:dyDescent="0.2">
      <c r="I232" s="498" t="s">
        <v>448</v>
      </c>
      <c r="O232" s="199"/>
      <c r="P232" s="639"/>
      <c r="Q232" s="199"/>
      <c r="R232" s="199"/>
    </row>
    <row r="233" spans="8:19" s="498" customFormat="1" ht="12" x14ac:dyDescent="0.2">
      <c r="I233" s="936" t="s">
        <v>449</v>
      </c>
      <c r="J233" s="936"/>
      <c r="K233" s="936"/>
      <c r="L233" s="936"/>
      <c r="M233" s="936"/>
      <c r="N233" s="936"/>
      <c r="O233" s="936"/>
      <c r="P233" s="936"/>
      <c r="Q233" s="936"/>
      <c r="R233" s="936"/>
      <c r="S233" s="936"/>
    </row>
    <row r="234" spans="8:19" s="498" customFormat="1" ht="12" x14ac:dyDescent="0.2">
      <c r="I234" s="498" t="s">
        <v>450</v>
      </c>
      <c r="O234" s="199"/>
      <c r="P234" s="639"/>
      <c r="Q234" s="199"/>
      <c r="R234" s="199"/>
    </row>
    <row r="235" spans="8:19" s="498" customFormat="1" ht="12" x14ac:dyDescent="0.2">
      <c r="I235" s="498" t="s">
        <v>482</v>
      </c>
      <c r="O235" s="199"/>
      <c r="P235" s="639"/>
      <c r="Q235" s="199"/>
      <c r="R235" s="199"/>
    </row>
  </sheetData>
  <mergeCells count="11">
    <mergeCell ref="I233:S233"/>
    <mergeCell ref="H30:I30"/>
    <mergeCell ref="A11:G11"/>
    <mergeCell ref="A2:I2"/>
    <mergeCell ref="A6:T6"/>
    <mergeCell ref="A7:T7"/>
    <mergeCell ref="A9:I9"/>
    <mergeCell ref="A32:T32"/>
    <mergeCell ref="A13:T13"/>
    <mergeCell ref="A22:T22"/>
    <mergeCell ref="A27:T27"/>
  </mergeCells>
  <phoneticPr fontId="0" type="noConversion"/>
  <printOptions horizontalCentered="1"/>
  <pageMargins left="0.23622047244094491" right="0.23622047244094491" top="0.55118110236220474" bottom="0.35433070866141736" header="0.31496062992125984" footer="0.31496062992125984"/>
  <pageSetup paperSize="9" fitToHeight="0" orientation="portrait" horizontalDpi="300" verticalDpi="300" r:id="rId1"/>
  <headerFooter alignWithMargins="0">
    <oddFooter>Stranica &amp;P</oddFooter>
  </headerFooter>
  <rowBreaks count="7" manualBreakCount="7">
    <brk id="32" max="21" man="1"/>
    <brk id="69" max="21" man="1"/>
    <brk id="98" max="21" man="1"/>
    <brk id="128" max="21" man="1"/>
    <brk id="156" max="21" man="1"/>
    <brk id="197" max="21" man="1"/>
    <brk id="21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71"/>
  <sheetViews>
    <sheetView view="pageBreakPreview" topLeftCell="A639" zoomScale="85" zoomScaleNormal="85" zoomScaleSheetLayoutView="85" workbookViewId="0">
      <selection activeCell="D405" sqref="D405"/>
    </sheetView>
  </sheetViews>
  <sheetFormatPr defaultRowHeight="12.75" x14ac:dyDescent="0.2"/>
  <cols>
    <col min="1" max="1" width="13.5703125" customWidth="1"/>
    <col min="2" max="2" width="6.28515625" customWidth="1"/>
    <col min="3" max="3" width="8.7109375" customWidth="1"/>
    <col min="4" max="4" width="67.42578125" customWidth="1"/>
    <col min="5" max="5" width="0.28515625" hidden="1" customWidth="1"/>
    <col min="6" max="8" width="21.5703125" style="584" hidden="1" customWidth="1"/>
    <col min="9" max="11" width="21.5703125" style="42" customWidth="1"/>
    <col min="12" max="12" width="21.5703125" style="584" hidden="1" customWidth="1"/>
    <col min="13" max="13" width="8.85546875" style="449" customWidth="1"/>
    <col min="14" max="14" width="9.140625" style="449" customWidth="1"/>
  </cols>
  <sheetData>
    <row r="1" spans="1:14" ht="14.25" x14ac:dyDescent="0.2">
      <c r="A1" s="977"/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979"/>
    </row>
    <row r="2" spans="1:14" ht="14.25" x14ac:dyDescent="0.2">
      <c r="A2" s="980"/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2"/>
    </row>
    <row r="3" spans="1:14" ht="18" customHeight="1" x14ac:dyDescent="0.25">
      <c r="A3" s="983" t="s">
        <v>432</v>
      </c>
      <c r="B3" s="983"/>
      <c r="C3" s="983"/>
      <c r="D3" s="983"/>
      <c r="E3" s="983"/>
      <c r="F3" s="983"/>
      <c r="G3" s="600"/>
      <c r="H3" s="600"/>
      <c r="I3" s="600"/>
      <c r="J3" s="600"/>
      <c r="K3" s="600"/>
      <c r="L3" s="614"/>
      <c r="M3" s="468"/>
      <c r="N3" s="468"/>
    </row>
    <row r="4" spans="1:14" ht="17.45" customHeight="1" thickBot="1" x14ac:dyDescent="0.25">
      <c r="A4" s="469"/>
      <c r="B4" s="469"/>
      <c r="C4" s="469"/>
      <c r="D4" s="469"/>
      <c r="E4" s="469"/>
      <c r="F4" s="571"/>
      <c r="G4" s="571"/>
      <c r="H4" s="571"/>
      <c r="I4" s="469"/>
      <c r="J4" s="469"/>
      <c r="K4" s="469"/>
      <c r="L4" s="571"/>
      <c r="M4" s="469"/>
      <c r="N4" s="469"/>
    </row>
    <row r="5" spans="1:14" s="382" customFormat="1" ht="64.150000000000006" customHeight="1" thickBot="1" x14ac:dyDescent="0.25">
      <c r="A5" s="441" t="s">
        <v>170</v>
      </c>
      <c r="B5" s="481" t="s">
        <v>109</v>
      </c>
      <c r="C5" s="442" t="s">
        <v>10</v>
      </c>
      <c r="D5" s="497" t="s">
        <v>171</v>
      </c>
      <c r="E5" s="443" t="s">
        <v>173</v>
      </c>
      <c r="F5" s="470" t="s">
        <v>456</v>
      </c>
      <c r="G5" s="470" t="s">
        <v>455</v>
      </c>
      <c r="H5" s="470" t="s">
        <v>551</v>
      </c>
      <c r="I5" s="470" t="s">
        <v>526</v>
      </c>
      <c r="J5" s="470" t="s">
        <v>494</v>
      </c>
      <c r="K5" s="470" t="s">
        <v>527</v>
      </c>
      <c r="L5" s="653" t="s">
        <v>467</v>
      </c>
      <c r="M5" s="442" t="s">
        <v>480</v>
      </c>
      <c r="N5" s="464" t="s">
        <v>481</v>
      </c>
    </row>
    <row r="6" spans="1:14" s="229" customFormat="1" ht="15.75" thickTop="1" thickBot="1" x14ac:dyDescent="0.25">
      <c r="A6" s="611"/>
      <c r="B6" s="612"/>
      <c r="C6" s="439"/>
      <c r="D6" s="440"/>
      <c r="E6" s="440"/>
      <c r="F6" s="440"/>
      <c r="G6" s="440"/>
      <c r="H6" s="440"/>
      <c r="I6" s="440">
        <v>1</v>
      </c>
      <c r="J6" s="440">
        <v>3</v>
      </c>
      <c r="K6" s="440">
        <v>5</v>
      </c>
      <c r="L6" s="613">
        <v>6</v>
      </c>
      <c r="M6" s="440">
        <v>7</v>
      </c>
      <c r="N6" s="687">
        <v>8</v>
      </c>
    </row>
    <row r="7" spans="1:14" s="610" customFormat="1" ht="21" thickBot="1" x14ac:dyDescent="0.25">
      <c r="A7" s="987" t="s">
        <v>528</v>
      </c>
      <c r="B7" s="988"/>
      <c r="C7" s="988"/>
      <c r="D7" s="989"/>
      <c r="E7" s="590" t="e">
        <f>SUM(E8+#REF!+#REF!+#REF!+#REF!+#REF!+#REF!+#REF!+#REF!+#REF!)</f>
        <v>#REF!</v>
      </c>
      <c r="F7" s="590" t="e">
        <f t="shared" ref="F7:L7" si="0">SUM(F8)</f>
        <v>#REF!</v>
      </c>
      <c r="G7" s="590" t="e">
        <f t="shared" si="0"/>
        <v>#REF!</v>
      </c>
      <c r="H7" s="590">
        <f t="shared" si="0"/>
        <v>3539450</v>
      </c>
      <c r="I7" s="590">
        <f t="shared" si="0"/>
        <v>3250950</v>
      </c>
      <c r="J7" s="590">
        <f t="shared" si="0"/>
        <v>4604250</v>
      </c>
      <c r="K7" s="590">
        <f t="shared" si="0"/>
        <v>5465550</v>
      </c>
      <c r="L7" s="607" t="e">
        <f t="shared" si="0"/>
        <v>#REF!</v>
      </c>
      <c r="M7" s="608">
        <f t="shared" ref="M7:N9" si="1">AVERAGE(J7/I7*100)</f>
        <v>141.62783186453191</v>
      </c>
      <c r="N7" s="609">
        <f t="shared" si="1"/>
        <v>118.70662974425802</v>
      </c>
    </row>
    <row r="8" spans="1:14" s="451" customFormat="1" ht="43.9" customHeight="1" thickBot="1" x14ac:dyDescent="0.25">
      <c r="A8" s="984" t="s">
        <v>529</v>
      </c>
      <c r="B8" s="985"/>
      <c r="C8" s="985"/>
      <c r="D8" s="986"/>
      <c r="E8" s="450">
        <v>1114522.06</v>
      </c>
      <c r="F8" s="450" t="e">
        <f t="shared" ref="F8:K8" si="2">SUM(F669)</f>
        <v>#REF!</v>
      </c>
      <c r="G8" s="450" t="e">
        <f t="shared" si="2"/>
        <v>#REF!</v>
      </c>
      <c r="H8" s="450">
        <f t="shared" si="2"/>
        <v>3539450</v>
      </c>
      <c r="I8" s="450">
        <f t="shared" si="2"/>
        <v>3250950</v>
      </c>
      <c r="J8" s="450">
        <f t="shared" si="2"/>
        <v>4604250</v>
      </c>
      <c r="K8" s="450">
        <f t="shared" si="2"/>
        <v>5465550</v>
      </c>
      <c r="L8" s="572" t="e">
        <f t="shared" ref="L8" si="3">SUM(L668)</f>
        <v>#REF!</v>
      </c>
      <c r="M8" s="685">
        <f t="shared" si="1"/>
        <v>141.62783186453191</v>
      </c>
      <c r="N8" s="686">
        <f t="shared" si="1"/>
        <v>118.70662974425802</v>
      </c>
    </row>
    <row r="9" spans="1:14" s="605" customFormat="1" ht="18.75" thickBot="1" x14ac:dyDescent="0.25">
      <c r="A9" s="956" t="s">
        <v>530</v>
      </c>
      <c r="B9" s="957"/>
      <c r="C9" s="957"/>
      <c r="D9" s="958"/>
      <c r="E9" s="591">
        <f t="shared" ref="E9:L9" si="4">SUM(E12+E28+E60+E72+E80+E86)</f>
        <v>1164522.06</v>
      </c>
      <c r="F9" s="591">
        <f t="shared" si="4"/>
        <v>1683000</v>
      </c>
      <c r="G9" s="591">
        <f t="shared" si="4"/>
        <v>223372.48656181566</v>
      </c>
      <c r="H9" s="591">
        <f t="shared" si="4"/>
        <v>331050</v>
      </c>
      <c r="I9" s="591">
        <f t="shared" si="4"/>
        <v>472650</v>
      </c>
      <c r="J9" s="591">
        <f t="shared" si="4"/>
        <v>425750</v>
      </c>
      <c r="K9" s="591">
        <f t="shared" si="4"/>
        <v>425050</v>
      </c>
      <c r="L9" s="596">
        <f t="shared" si="4"/>
        <v>3176168.4750000001</v>
      </c>
      <c r="M9" s="598">
        <f t="shared" si="1"/>
        <v>90.077224161641809</v>
      </c>
      <c r="N9" s="599">
        <f t="shared" si="1"/>
        <v>99.835584263065186</v>
      </c>
    </row>
    <row r="10" spans="1:14" ht="14.25" x14ac:dyDescent="0.2">
      <c r="A10" s="435"/>
      <c r="B10" s="416"/>
      <c r="C10" s="416"/>
      <c r="D10" s="438" t="s">
        <v>176</v>
      </c>
      <c r="E10" s="417"/>
      <c r="F10" s="418"/>
      <c r="G10" s="418"/>
      <c r="H10" s="418"/>
      <c r="I10" s="418"/>
      <c r="J10" s="418"/>
      <c r="K10" s="418"/>
      <c r="L10" s="574"/>
      <c r="M10" s="964">
        <f>AVERAGE(J12/I12*100)</f>
        <v>100</v>
      </c>
      <c r="N10" s="962">
        <f>AVERAGE(K12/J12*100)</f>
        <v>100</v>
      </c>
    </row>
    <row r="11" spans="1:14" ht="14.25" x14ac:dyDescent="0.2">
      <c r="A11" s="425"/>
      <c r="B11" s="42"/>
      <c r="C11" s="42"/>
      <c r="D11" s="419" t="s">
        <v>498</v>
      </c>
      <c r="E11" s="402"/>
      <c r="F11" s="395"/>
      <c r="G11" s="395"/>
      <c r="H11" s="395"/>
      <c r="I11" s="395"/>
      <c r="J11" s="395"/>
      <c r="K11" s="395"/>
      <c r="L11" s="575"/>
      <c r="M11" s="965"/>
      <c r="N11" s="963"/>
    </row>
    <row r="12" spans="1:14" s="116" customFormat="1" ht="15.75" x14ac:dyDescent="0.25">
      <c r="A12" s="452"/>
      <c r="B12" s="453"/>
      <c r="C12" s="453"/>
      <c r="D12" s="454" t="s">
        <v>531</v>
      </c>
      <c r="E12" s="455">
        <f t="shared" ref="E12:I12" si="5">SUM(E13+E20)</f>
        <v>524300</v>
      </c>
      <c r="F12" s="456">
        <f t="shared" si="5"/>
        <v>779000</v>
      </c>
      <c r="G12" s="456">
        <f t="shared" si="5"/>
        <v>103391.06775499371</v>
      </c>
      <c r="H12" s="456">
        <f>SUM(H13+H20)</f>
        <v>169200</v>
      </c>
      <c r="I12" s="456">
        <f t="shared" si="5"/>
        <v>227500</v>
      </c>
      <c r="J12" s="456">
        <f>SUM(J13+J20)</f>
        <v>227500</v>
      </c>
      <c r="K12" s="456">
        <f>SUM(K13+K20)</f>
        <v>227500</v>
      </c>
      <c r="L12" s="576">
        <f>SUM(L13+L20)</f>
        <v>1714098.75</v>
      </c>
      <c r="M12" s="965"/>
      <c r="N12" s="963"/>
    </row>
    <row r="13" spans="1:14" s="29" customFormat="1" ht="15" x14ac:dyDescent="0.25">
      <c r="A13" s="383" t="s">
        <v>384</v>
      </c>
      <c r="B13" s="485"/>
      <c r="C13" s="415">
        <v>31</v>
      </c>
      <c r="D13" s="392" t="s">
        <v>41</v>
      </c>
      <c r="E13" s="404">
        <f t="shared" ref="E13:K13" si="6">SUM(E14+E16+E18)</f>
        <v>482800</v>
      </c>
      <c r="F13" s="404">
        <f t="shared" si="6"/>
        <v>723000</v>
      </c>
      <c r="G13" s="404">
        <f t="shared" si="6"/>
        <v>95958.590483774649</v>
      </c>
      <c r="H13" s="404">
        <f>SUM(H14+H16+H18)</f>
        <v>159200</v>
      </c>
      <c r="I13" s="404">
        <f t="shared" si="6"/>
        <v>212500</v>
      </c>
      <c r="J13" s="404">
        <f t="shared" si="6"/>
        <v>212500</v>
      </c>
      <c r="K13" s="404">
        <f t="shared" si="6"/>
        <v>212500</v>
      </c>
      <c r="L13" s="577">
        <f>SUM(L14+L16+L18)</f>
        <v>1601081.25</v>
      </c>
      <c r="M13" s="408">
        <f t="shared" ref="M13:M25" si="7">AVERAGE(J13/I13*100)</f>
        <v>100</v>
      </c>
      <c r="N13" s="426">
        <f t="shared" ref="N13:N25" si="8">AVERAGE(K13/J13*100)</f>
        <v>100</v>
      </c>
    </row>
    <row r="14" spans="1:14" ht="14.25" x14ac:dyDescent="0.2">
      <c r="A14" s="394" t="s">
        <v>384</v>
      </c>
      <c r="B14" s="486"/>
      <c r="C14" s="390">
        <v>311</v>
      </c>
      <c r="D14" s="391" t="s">
        <v>181</v>
      </c>
      <c r="E14" s="386">
        <v>400000</v>
      </c>
      <c r="F14" s="386">
        <f t="shared" ref="F14:L14" si="9">F15</f>
        <v>560000</v>
      </c>
      <c r="G14" s="386">
        <f t="shared" si="9"/>
        <v>74324.772712190592</v>
      </c>
      <c r="H14" s="386">
        <f t="shared" si="9"/>
        <v>129000</v>
      </c>
      <c r="I14" s="386">
        <f t="shared" si="9"/>
        <v>171000</v>
      </c>
      <c r="J14" s="386">
        <f t="shared" si="9"/>
        <v>171000</v>
      </c>
      <c r="K14" s="386">
        <f t="shared" si="9"/>
        <v>171000</v>
      </c>
      <c r="L14" s="578">
        <f t="shared" si="9"/>
        <v>1288399.5</v>
      </c>
      <c r="M14" s="408">
        <f t="shared" si="7"/>
        <v>100</v>
      </c>
      <c r="N14" s="426">
        <f t="shared" si="8"/>
        <v>100</v>
      </c>
    </row>
    <row r="15" spans="1:14" ht="14.25" x14ac:dyDescent="0.2">
      <c r="A15" s="394" t="s">
        <v>384</v>
      </c>
      <c r="B15" s="486"/>
      <c r="C15" s="390">
        <v>3111</v>
      </c>
      <c r="D15" s="391" t="s">
        <v>182</v>
      </c>
      <c r="E15" s="386">
        <v>400000</v>
      </c>
      <c r="F15" s="386">
        <v>560000</v>
      </c>
      <c r="G15" s="386">
        <f>F15/7.5345</f>
        <v>74324.772712190592</v>
      </c>
      <c r="H15" s="386">
        <v>129000</v>
      </c>
      <c r="I15" s="386">
        <v>171000</v>
      </c>
      <c r="J15" s="386">
        <v>171000</v>
      </c>
      <c r="K15" s="386">
        <v>171000</v>
      </c>
      <c r="L15" s="578">
        <f>K15*7.5345</f>
        <v>1288399.5</v>
      </c>
      <c r="M15" s="408">
        <f t="shared" si="7"/>
        <v>100</v>
      </c>
      <c r="N15" s="426">
        <f t="shared" si="8"/>
        <v>100</v>
      </c>
    </row>
    <row r="16" spans="1:14" ht="14.25" x14ac:dyDescent="0.2">
      <c r="A16" s="394" t="s">
        <v>384</v>
      </c>
      <c r="B16" s="486"/>
      <c r="C16" s="390">
        <v>312</v>
      </c>
      <c r="D16" s="391" t="s">
        <v>43</v>
      </c>
      <c r="E16" s="386">
        <v>14000</v>
      </c>
      <c r="F16" s="386">
        <f t="shared" ref="F16:L16" si="10">F17</f>
        <v>70000</v>
      </c>
      <c r="G16" s="386">
        <f t="shared" si="10"/>
        <v>9290.596589023824</v>
      </c>
      <c r="H16" s="386">
        <f t="shared" si="10"/>
        <v>11400</v>
      </c>
      <c r="I16" s="386">
        <f t="shared" si="10"/>
        <v>16000</v>
      </c>
      <c r="J16" s="386">
        <f t="shared" si="10"/>
        <v>16000</v>
      </c>
      <c r="K16" s="386">
        <f t="shared" si="10"/>
        <v>16000</v>
      </c>
      <c r="L16" s="386">
        <f t="shared" si="10"/>
        <v>120552</v>
      </c>
      <c r="M16" s="408">
        <f t="shared" si="7"/>
        <v>100</v>
      </c>
      <c r="N16" s="426">
        <f t="shared" si="8"/>
        <v>100</v>
      </c>
    </row>
    <row r="17" spans="1:14" ht="14.25" x14ac:dyDescent="0.2">
      <c r="A17" s="394" t="s">
        <v>384</v>
      </c>
      <c r="B17" s="486"/>
      <c r="C17" s="390">
        <v>3121</v>
      </c>
      <c r="D17" s="391" t="s">
        <v>43</v>
      </c>
      <c r="E17" s="386">
        <v>14000</v>
      </c>
      <c r="F17" s="386">
        <v>70000</v>
      </c>
      <c r="G17" s="386">
        <f>F17/7.5345</f>
        <v>9290.596589023824</v>
      </c>
      <c r="H17" s="386">
        <v>11400</v>
      </c>
      <c r="I17" s="386">
        <v>16000</v>
      </c>
      <c r="J17" s="386">
        <v>16000</v>
      </c>
      <c r="K17" s="386">
        <v>16000</v>
      </c>
      <c r="L17" s="578">
        <f>K17*7.5345</f>
        <v>120552</v>
      </c>
      <c r="M17" s="408">
        <f t="shared" si="7"/>
        <v>100</v>
      </c>
      <c r="N17" s="426">
        <f t="shared" si="8"/>
        <v>100</v>
      </c>
    </row>
    <row r="18" spans="1:14" ht="14.25" x14ac:dyDescent="0.2">
      <c r="A18" s="394" t="s">
        <v>384</v>
      </c>
      <c r="B18" s="486"/>
      <c r="C18" s="390">
        <v>313</v>
      </c>
      <c r="D18" s="391" t="s">
        <v>44</v>
      </c>
      <c r="E18" s="386">
        <v>68800</v>
      </c>
      <c r="F18" s="386">
        <f t="shared" ref="F18:L18" si="11">F19</f>
        <v>93000</v>
      </c>
      <c r="G18" s="386">
        <f t="shared" si="11"/>
        <v>12343.221182560223</v>
      </c>
      <c r="H18" s="386">
        <f t="shared" si="11"/>
        <v>18800</v>
      </c>
      <c r="I18" s="386">
        <f t="shared" si="11"/>
        <v>25500</v>
      </c>
      <c r="J18" s="386">
        <f t="shared" si="11"/>
        <v>25500</v>
      </c>
      <c r="K18" s="386">
        <f t="shared" si="11"/>
        <v>25500</v>
      </c>
      <c r="L18" s="578">
        <f t="shared" si="11"/>
        <v>192129.75</v>
      </c>
      <c r="M18" s="408">
        <f t="shared" si="7"/>
        <v>100</v>
      </c>
      <c r="N18" s="426">
        <f t="shared" si="8"/>
        <v>100</v>
      </c>
    </row>
    <row r="19" spans="1:14" ht="14.25" x14ac:dyDescent="0.2">
      <c r="A19" s="394" t="s">
        <v>384</v>
      </c>
      <c r="B19" s="486"/>
      <c r="C19" s="390">
        <v>3132</v>
      </c>
      <c r="D19" s="391" t="s">
        <v>183</v>
      </c>
      <c r="E19" s="386">
        <v>62000</v>
      </c>
      <c r="F19" s="386">
        <v>93000</v>
      </c>
      <c r="G19" s="386">
        <f>F19/7.5345</f>
        <v>12343.221182560223</v>
      </c>
      <c r="H19" s="386">
        <v>18800</v>
      </c>
      <c r="I19" s="386">
        <v>25500</v>
      </c>
      <c r="J19" s="386">
        <v>25500</v>
      </c>
      <c r="K19" s="386">
        <v>25500</v>
      </c>
      <c r="L19" s="578">
        <f>K19*7.5345</f>
        <v>192129.75</v>
      </c>
      <c r="M19" s="408">
        <f t="shared" si="7"/>
        <v>100</v>
      </c>
      <c r="N19" s="426">
        <f t="shared" si="8"/>
        <v>100</v>
      </c>
    </row>
    <row r="20" spans="1:14" s="29" customFormat="1" ht="15" x14ac:dyDescent="0.25">
      <c r="A20" s="428" t="s">
        <v>384</v>
      </c>
      <c r="B20" s="487"/>
      <c r="C20" s="377">
        <v>32</v>
      </c>
      <c r="D20" s="388" t="s">
        <v>47</v>
      </c>
      <c r="E20" s="385">
        <v>41500</v>
      </c>
      <c r="F20" s="385">
        <f t="shared" ref="F20:L20" si="12">F21</f>
        <v>56000</v>
      </c>
      <c r="G20" s="385">
        <f t="shared" si="12"/>
        <v>7432.4772712190588</v>
      </c>
      <c r="H20" s="385">
        <f t="shared" si="12"/>
        <v>10000</v>
      </c>
      <c r="I20" s="385">
        <f t="shared" si="12"/>
        <v>15000</v>
      </c>
      <c r="J20" s="385">
        <f t="shared" si="12"/>
        <v>15000</v>
      </c>
      <c r="K20" s="385">
        <f t="shared" si="12"/>
        <v>15000</v>
      </c>
      <c r="L20" s="579">
        <f t="shared" si="12"/>
        <v>113017.5</v>
      </c>
      <c r="M20" s="408">
        <f t="shared" si="7"/>
        <v>100</v>
      </c>
      <c r="N20" s="426">
        <f t="shared" si="8"/>
        <v>100</v>
      </c>
    </row>
    <row r="21" spans="1:14" ht="14.25" x14ac:dyDescent="0.2">
      <c r="A21" s="394" t="s">
        <v>384</v>
      </c>
      <c r="B21" s="486"/>
      <c r="C21" s="390">
        <v>321</v>
      </c>
      <c r="D21" s="391" t="s">
        <v>48</v>
      </c>
      <c r="E21" s="386">
        <f t="shared" ref="E21:K21" si="13">SUM(E22:E25)</f>
        <v>41500</v>
      </c>
      <c r="F21" s="386">
        <f t="shared" si="13"/>
        <v>56000</v>
      </c>
      <c r="G21" s="386">
        <f t="shared" si="13"/>
        <v>7432.4772712190588</v>
      </c>
      <c r="H21" s="386">
        <f>SUM(H22:H25)</f>
        <v>10000</v>
      </c>
      <c r="I21" s="386">
        <f t="shared" si="13"/>
        <v>15000</v>
      </c>
      <c r="J21" s="386">
        <f t="shared" si="13"/>
        <v>15000</v>
      </c>
      <c r="K21" s="386">
        <f t="shared" si="13"/>
        <v>15000</v>
      </c>
      <c r="L21" s="578">
        <f>SUM(L22:L25)</f>
        <v>113017.5</v>
      </c>
      <c r="M21" s="408">
        <f t="shared" si="7"/>
        <v>100</v>
      </c>
      <c r="N21" s="426">
        <f t="shared" si="8"/>
        <v>100</v>
      </c>
    </row>
    <row r="22" spans="1:14" ht="14.25" x14ac:dyDescent="0.2">
      <c r="A22" s="394" t="s">
        <v>384</v>
      </c>
      <c r="B22" s="486"/>
      <c r="C22" s="390">
        <v>3211</v>
      </c>
      <c r="D22" s="391" t="s">
        <v>49</v>
      </c>
      <c r="E22" s="386">
        <v>7500</v>
      </c>
      <c r="F22" s="386">
        <v>10000</v>
      </c>
      <c r="G22" s="386">
        <f>F22/7.5345</f>
        <v>1327.2280841462605</v>
      </c>
      <c r="H22" s="386">
        <v>2000</v>
      </c>
      <c r="I22" s="386">
        <v>5000</v>
      </c>
      <c r="J22" s="386">
        <v>5000</v>
      </c>
      <c r="K22" s="386">
        <v>5000</v>
      </c>
      <c r="L22" s="578">
        <f>K22*7.5345</f>
        <v>37672.5</v>
      </c>
      <c r="M22" s="408">
        <f t="shared" si="7"/>
        <v>100</v>
      </c>
      <c r="N22" s="426">
        <f t="shared" si="8"/>
        <v>100</v>
      </c>
    </row>
    <row r="23" spans="1:14" ht="14.25" x14ac:dyDescent="0.2">
      <c r="A23" s="394" t="s">
        <v>384</v>
      </c>
      <c r="B23" s="486"/>
      <c r="C23" s="390">
        <v>3212</v>
      </c>
      <c r="D23" s="391" t="s">
        <v>50</v>
      </c>
      <c r="E23" s="386">
        <v>18000</v>
      </c>
      <c r="F23" s="386">
        <v>30000</v>
      </c>
      <c r="G23" s="386">
        <f>F23/7.5345</f>
        <v>3981.6842524387812</v>
      </c>
      <c r="H23" s="386">
        <v>5000</v>
      </c>
      <c r="I23" s="386">
        <v>5000</v>
      </c>
      <c r="J23" s="386">
        <v>5000</v>
      </c>
      <c r="K23" s="386">
        <v>5000</v>
      </c>
      <c r="L23" s="578">
        <f>K23*7.5345</f>
        <v>37672.5</v>
      </c>
      <c r="M23" s="408">
        <f t="shared" si="7"/>
        <v>100</v>
      </c>
      <c r="N23" s="426">
        <f t="shared" si="8"/>
        <v>100</v>
      </c>
    </row>
    <row r="24" spans="1:14" ht="14.25" x14ac:dyDescent="0.2">
      <c r="A24" s="394" t="s">
        <v>384</v>
      </c>
      <c r="B24" s="486"/>
      <c r="C24" s="390">
        <v>3213</v>
      </c>
      <c r="D24" s="391" t="s">
        <v>51</v>
      </c>
      <c r="E24" s="386">
        <v>10000</v>
      </c>
      <c r="F24" s="386">
        <v>10000</v>
      </c>
      <c r="G24" s="386">
        <f>F24/7.5345</f>
        <v>1327.2280841462605</v>
      </c>
      <c r="H24" s="386">
        <v>2000</v>
      </c>
      <c r="I24" s="386">
        <v>3000</v>
      </c>
      <c r="J24" s="386">
        <v>3000</v>
      </c>
      <c r="K24" s="386">
        <v>3000</v>
      </c>
      <c r="L24" s="578">
        <f>K24*7.5345</f>
        <v>22603.5</v>
      </c>
      <c r="M24" s="408">
        <f t="shared" si="7"/>
        <v>100</v>
      </c>
      <c r="N24" s="426">
        <f t="shared" si="8"/>
        <v>100</v>
      </c>
    </row>
    <row r="25" spans="1:14" s="414" customFormat="1" ht="15" thickBot="1" x14ac:dyDescent="0.25">
      <c r="A25" s="429" t="s">
        <v>384</v>
      </c>
      <c r="B25" s="488"/>
      <c r="C25" s="410">
        <v>3214</v>
      </c>
      <c r="D25" s="411" t="s">
        <v>185</v>
      </c>
      <c r="E25" s="412">
        <v>6000</v>
      </c>
      <c r="F25" s="412">
        <v>6000</v>
      </c>
      <c r="G25" s="412">
        <f>F25/7.5345</f>
        <v>796.33685048775624</v>
      </c>
      <c r="H25" s="412">
        <v>1000</v>
      </c>
      <c r="I25" s="412">
        <v>2000</v>
      </c>
      <c r="J25" s="412">
        <v>2000</v>
      </c>
      <c r="K25" s="412">
        <v>2000</v>
      </c>
      <c r="L25" s="580">
        <f>K25*7.5345</f>
        <v>15069</v>
      </c>
      <c r="M25" s="477">
        <f t="shared" si="7"/>
        <v>100</v>
      </c>
      <c r="N25" s="478">
        <f t="shared" si="8"/>
        <v>100</v>
      </c>
    </row>
    <row r="26" spans="1:14" ht="15" thickTop="1" x14ac:dyDescent="0.2">
      <c r="A26" s="425"/>
      <c r="B26" s="42"/>
      <c r="C26" s="42"/>
      <c r="D26" s="419" t="s">
        <v>176</v>
      </c>
      <c r="E26" s="409"/>
      <c r="F26" s="575"/>
      <c r="G26" s="575"/>
      <c r="H26" s="395"/>
      <c r="I26" s="395"/>
      <c r="J26" s="395"/>
      <c r="K26" s="395"/>
      <c r="L26" s="575"/>
      <c r="M26" s="964">
        <f>AVERAGE(J28/I28*100)</f>
        <v>97.557156279361095</v>
      </c>
      <c r="N26" s="962">
        <f>AVERAGE(K28/J28*100)</f>
        <v>101.47672552166934</v>
      </c>
    </row>
    <row r="27" spans="1:14" ht="14.25" x14ac:dyDescent="0.2">
      <c r="A27" s="425"/>
      <c r="B27" s="42"/>
      <c r="C27" s="42"/>
      <c r="D27" s="420" t="s">
        <v>499</v>
      </c>
      <c r="E27" s="402"/>
      <c r="F27" s="395"/>
      <c r="G27" s="395"/>
      <c r="H27" s="395"/>
      <c r="I27" s="395"/>
      <c r="J27" s="395"/>
      <c r="K27" s="395"/>
      <c r="L27" s="575"/>
      <c r="M27" s="965"/>
      <c r="N27" s="963"/>
    </row>
    <row r="28" spans="1:14" s="116" customFormat="1" ht="15.75" x14ac:dyDescent="0.25">
      <c r="A28" s="452"/>
      <c r="B28" s="453"/>
      <c r="C28" s="453"/>
      <c r="D28" s="454" t="s">
        <v>532</v>
      </c>
      <c r="E28" s="455">
        <f t="shared" ref="E28:L28" si="14">SUM(E29+E53)</f>
        <v>474222.06</v>
      </c>
      <c r="F28" s="456">
        <f t="shared" si="14"/>
        <v>796500</v>
      </c>
      <c r="G28" s="456">
        <f t="shared" si="14"/>
        <v>105713.71690224964</v>
      </c>
      <c r="H28" s="456">
        <f t="shared" si="14"/>
        <v>116850</v>
      </c>
      <c r="I28" s="456">
        <f t="shared" si="14"/>
        <v>159650</v>
      </c>
      <c r="J28" s="456">
        <f t="shared" si="14"/>
        <v>155750</v>
      </c>
      <c r="K28" s="456">
        <f t="shared" si="14"/>
        <v>158050</v>
      </c>
      <c r="L28" s="576">
        <f t="shared" si="14"/>
        <v>1187060.4750000001</v>
      </c>
      <c r="M28" s="965"/>
      <c r="N28" s="963"/>
    </row>
    <row r="29" spans="1:14" s="29" customFormat="1" ht="15" x14ac:dyDescent="0.25">
      <c r="A29" s="383" t="s">
        <v>385</v>
      </c>
      <c r="B29" s="485"/>
      <c r="C29" s="415">
        <v>32</v>
      </c>
      <c r="D29" s="392" t="s">
        <v>47</v>
      </c>
      <c r="E29" s="404">
        <f t="shared" ref="E29:L29" si="15">SUM(E30+E37+E46+E48)</f>
        <v>457022.06</v>
      </c>
      <c r="F29" s="404">
        <f t="shared" si="15"/>
        <v>761500</v>
      </c>
      <c r="G29" s="404">
        <f t="shared" si="15"/>
        <v>101068.41860773772</v>
      </c>
      <c r="H29" s="404">
        <f t="shared" si="15"/>
        <v>112250</v>
      </c>
      <c r="I29" s="404">
        <f t="shared" si="15"/>
        <v>155050</v>
      </c>
      <c r="J29" s="404">
        <f t="shared" si="15"/>
        <v>150750</v>
      </c>
      <c r="K29" s="404">
        <f t="shared" si="15"/>
        <v>152550</v>
      </c>
      <c r="L29" s="577">
        <f t="shared" si="15"/>
        <v>1145620.7250000001</v>
      </c>
      <c r="M29" s="408">
        <f t="shared" ref="M29:M57" si="16">AVERAGE(J29/I29*100)</f>
        <v>97.226701064172843</v>
      </c>
      <c r="N29" s="426">
        <f t="shared" ref="N29:N57" si="17">AVERAGE(K29/J29*100)</f>
        <v>101.19402985074626</v>
      </c>
    </row>
    <row r="30" spans="1:14" ht="14.25" x14ac:dyDescent="0.2">
      <c r="A30" s="394" t="s">
        <v>385</v>
      </c>
      <c r="B30" s="486"/>
      <c r="C30" s="390">
        <v>322</v>
      </c>
      <c r="D30" s="391" t="s">
        <v>52</v>
      </c>
      <c r="E30" s="386">
        <f t="shared" ref="E30:L30" si="18">SUM(E31:E36)</f>
        <v>133022.06</v>
      </c>
      <c r="F30" s="386">
        <f t="shared" si="18"/>
        <v>182000</v>
      </c>
      <c r="G30" s="386">
        <f t="shared" si="18"/>
        <v>24155.551131461943</v>
      </c>
      <c r="H30" s="386">
        <f t="shared" si="18"/>
        <v>25750</v>
      </c>
      <c r="I30" s="386">
        <f t="shared" si="18"/>
        <v>19250</v>
      </c>
      <c r="J30" s="386">
        <f t="shared" si="18"/>
        <v>20250</v>
      </c>
      <c r="K30" s="386">
        <f t="shared" si="18"/>
        <v>20250</v>
      </c>
      <c r="L30" s="578">
        <f t="shared" si="18"/>
        <v>148806.375</v>
      </c>
      <c r="M30" s="408">
        <f t="shared" si="16"/>
        <v>105.1948051948052</v>
      </c>
      <c r="N30" s="426">
        <f t="shared" si="17"/>
        <v>100</v>
      </c>
    </row>
    <row r="31" spans="1:14" ht="14.25" x14ac:dyDescent="0.2">
      <c r="A31" s="394" t="s">
        <v>385</v>
      </c>
      <c r="B31" s="486"/>
      <c r="C31" s="390">
        <v>3221</v>
      </c>
      <c r="D31" s="391" t="s">
        <v>53</v>
      </c>
      <c r="E31" s="386">
        <v>16000</v>
      </c>
      <c r="F31" s="386">
        <v>25000</v>
      </c>
      <c r="G31" s="386">
        <f>F31/7.5345</f>
        <v>3318.0702103656513</v>
      </c>
      <c r="H31" s="386">
        <v>4000</v>
      </c>
      <c r="I31" s="386">
        <v>4000</v>
      </c>
      <c r="J31" s="386">
        <v>4000</v>
      </c>
      <c r="K31" s="386">
        <v>4000</v>
      </c>
      <c r="L31" s="578">
        <f>K31*7.5345</f>
        <v>30138</v>
      </c>
      <c r="M31" s="408">
        <f t="shared" si="16"/>
        <v>100</v>
      </c>
      <c r="N31" s="426">
        <f t="shared" si="17"/>
        <v>100</v>
      </c>
    </row>
    <row r="32" spans="1:14" ht="14.25" x14ac:dyDescent="0.2">
      <c r="A32" s="394" t="s">
        <v>385</v>
      </c>
      <c r="B32" s="486"/>
      <c r="C32" s="390">
        <v>3223</v>
      </c>
      <c r="D32" s="391" t="s">
        <v>54</v>
      </c>
      <c r="E32" s="386">
        <v>50000</v>
      </c>
      <c r="F32" s="386">
        <v>70000</v>
      </c>
      <c r="G32" s="386">
        <f>F32/7.5345</f>
        <v>9290.596589023824</v>
      </c>
      <c r="H32" s="386">
        <v>9500</v>
      </c>
      <c r="I32" s="386">
        <v>9500</v>
      </c>
      <c r="J32" s="386">
        <v>11000</v>
      </c>
      <c r="K32" s="386">
        <v>11000</v>
      </c>
      <c r="L32" s="578">
        <f>K32*7.5345</f>
        <v>82879.5</v>
      </c>
      <c r="M32" s="408">
        <f t="shared" si="16"/>
        <v>115.78947368421053</v>
      </c>
      <c r="N32" s="426">
        <f t="shared" si="17"/>
        <v>100</v>
      </c>
    </row>
    <row r="33" spans="1:14" ht="14.25" x14ac:dyDescent="0.2">
      <c r="A33" s="394" t="s">
        <v>385</v>
      </c>
      <c r="B33" s="486"/>
      <c r="C33" s="390">
        <v>3223</v>
      </c>
      <c r="D33" s="391" t="s">
        <v>578</v>
      </c>
      <c r="E33" s="386">
        <v>50000</v>
      </c>
      <c r="F33" s="386">
        <v>70000</v>
      </c>
      <c r="G33" s="386">
        <f>F33/7.5345</f>
        <v>9290.596589023824</v>
      </c>
      <c r="H33" s="386">
        <v>9500</v>
      </c>
      <c r="I33" s="386">
        <v>2500</v>
      </c>
      <c r="J33" s="386">
        <v>2500</v>
      </c>
      <c r="K33" s="386">
        <v>2500</v>
      </c>
      <c r="L33" s="578">
        <f>K33*7.5345</f>
        <v>18836.25</v>
      </c>
      <c r="M33" s="408">
        <f t="shared" si="16"/>
        <v>100</v>
      </c>
      <c r="N33" s="426">
        <f t="shared" si="17"/>
        <v>100</v>
      </c>
    </row>
    <row r="34" spans="1:14" ht="14.25" x14ac:dyDescent="0.2">
      <c r="A34" s="394" t="s">
        <v>385</v>
      </c>
      <c r="B34" s="486"/>
      <c r="C34" s="390">
        <v>3224</v>
      </c>
      <c r="D34" s="391" t="s">
        <v>187</v>
      </c>
      <c r="E34" s="386">
        <v>0</v>
      </c>
      <c r="F34" s="386">
        <v>2000</v>
      </c>
      <c r="G34" s="386">
        <f>F34/7.5345</f>
        <v>265.44561682925212</v>
      </c>
      <c r="H34" s="386">
        <v>250</v>
      </c>
      <c r="I34" s="386">
        <v>250</v>
      </c>
      <c r="J34" s="386">
        <v>250</v>
      </c>
      <c r="K34" s="386">
        <v>250</v>
      </c>
      <c r="L34" s="578">
        <f>K34*7.5345</f>
        <v>1883.625</v>
      </c>
      <c r="M34" s="408">
        <f t="shared" si="16"/>
        <v>100</v>
      </c>
      <c r="N34" s="426">
        <f t="shared" si="17"/>
        <v>100</v>
      </c>
    </row>
    <row r="35" spans="1:14" ht="14.25" x14ac:dyDescent="0.2">
      <c r="A35" s="394" t="s">
        <v>385</v>
      </c>
      <c r="B35" s="486"/>
      <c r="C35" s="390">
        <v>3225</v>
      </c>
      <c r="D35" s="391" t="s">
        <v>188</v>
      </c>
      <c r="E35" s="386">
        <v>15022.06</v>
      </c>
      <c r="F35" s="386">
        <v>15000</v>
      </c>
      <c r="G35" s="386">
        <f>F35/7.5345</f>
        <v>1990.8421262193906</v>
      </c>
      <c r="H35" s="386">
        <v>2000</v>
      </c>
      <c r="I35" s="386">
        <v>2000</v>
      </c>
      <c r="J35" s="386">
        <v>2000</v>
      </c>
      <c r="K35" s="386">
        <v>2000</v>
      </c>
      <c r="L35" s="578">
        <f>K35*7.5345</f>
        <v>15069</v>
      </c>
      <c r="M35" s="408">
        <f t="shared" si="16"/>
        <v>100</v>
      </c>
      <c r="N35" s="426">
        <f t="shared" si="17"/>
        <v>100</v>
      </c>
    </row>
    <row r="36" spans="1:14" ht="14.25" x14ac:dyDescent="0.2">
      <c r="A36" s="394" t="s">
        <v>385</v>
      </c>
      <c r="B36" s="486"/>
      <c r="C36" s="390">
        <v>3227</v>
      </c>
      <c r="D36" s="391" t="s">
        <v>386</v>
      </c>
      <c r="E36" s="386">
        <v>2000</v>
      </c>
      <c r="F36" s="386">
        <v>0</v>
      </c>
      <c r="G36" s="386">
        <v>0</v>
      </c>
      <c r="H36" s="386">
        <v>500</v>
      </c>
      <c r="I36" s="386">
        <v>1000</v>
      </c>
      <c r="J36" s="386">
        <v>500</v>
      </c>
      <c r="K36" s="386">
        <v>500</v>
      </c>
      <c r="L36" s="578">
        <v>0</v>
      </c>
      <c r="M36" s="408">
        <f t="shared" si="16"/>
        <v>50</v>
      </c>
      <c r="N36" s="426">
        <f t="shared" si="17"/>
        <v>100</v>
      </c>
    </row>
    <row r="37" spans="1:14" ht="14.25" x14ac:dyDescent="0.2">
      <c r="A37" s="394" t="s">
        <v>385</v>
      </c>
      <c r="B37" s="486"/>
      <c r="C37" s="390">
        <v>323</v>
      </c>
      <c r="D37" s="391" t="s">
        <v>56</v>
      </c>
      <c r="E37" s="386">
        <f t="shared" ref="E37:K37" si="19">SUM(E38:E45)</f>
        <v>269000</v>
      </c>
      <c r="F37" s="386">
        <f t="shared" si="19"/>
        <v>449500</v>
      </c>
      <c r="G37" s="386">
        <f t="shared" si="19"/>
        <v>59658.902382374406</v>
      </c>
      <c r="H37" s="386">
        <f>SUM(H38:H45)</f>
        <v>62500</v>
      </c>
      <c r="I37" s="386">
        <f t="shared" si="19"/>
        <v>114300</v>
      </c>
      <c r="J37" s="386">
        <f t="shared" si="19"/>
        <v>108000</v>
      </c>
      <c r="K37" s="386">
        <f t="shared" si="19"/>
        <v>109800</v>
      </c>
      <c r="L37" s="578">
        <f>SUM(L38:L45)</f>
        <v>827288.1</v>
      </c>
      <c r="M37" s="408">
        <f t="shared" si="16"/>
        <v>94.488188976377955</v>
      </c>
      <c r="N37" s="426">
        <f t="shared" si="17"/>
        <v>101.66666666666666</v>
      </c>
    </row>
    <row r="38" spans="1:14" ht="14.25" x14ac:dyDescent="0.2">
      <c r="A38" s="394" t="s">
        <v>385</v>
      </c>
      <c r="B38" s="486"/>
      <c r="C38" s="390">
        <v>3231</v>
      </c>
      <c r="D38" s="391" t="s">
        <v>57</v>
      </c>
      <c r="E38" s="386">
        <v>30000</v>
      </c>
      <c r="F38" s="386">
        <v>45000</v>
      </c>
      <c r="G38" s="386">
        <f t="shared" ref="G38:G45" si="20">F38/7.5345</f>
        <v>5972.5263786581718</v>
      </c>
      <c r="H38" s="386">
        <v>6000</v>
      </c>
      <c r="I38" s="386">
        <v>7000</v>
      </c>
      <c r="J38" s="386">
        <v>7000</v>
      </c>
      <c r="K38" s="386">
        <v>7000</v>
      </c>
      <c r="L38" s="578">
        <f t="shared" ref="L38:L45" si="21">K38*7.5345</f>
        <v>52741.5</v>
      </c>
      <c r="M38" s="408">
        <f t="shared" si="16"/>
        <v>100</v>
      </c>
      <c r="N38" s="426">
        <f t="shared" si="17"/>
        <v>100</v>
      </c>
    </row>
    <row r="39" spans="1:14" ht="14.25" x14ac:dyDescent="0.2">
      <c r="A39" s="394" t="s">
        <v>385</v>
      </c>
      <c r="B39" s="486"/>
      <c r="C39" s="390">
        <v>3232</v>
      </c>
      <c r="D39" s="391" t="s">
        <v>387</v>
      </c>
      <c r="E39" s="386">
        <v>5000</v>
      </c>
      <c r="F39" s="386">
        <v>7000</v>
      </c>
      <c r="G39" s="386">
        <f t="shared" si="20"/>
        <v>929.05965890238235</v>
      </c>
      <c r="H39" s="386">
        <v>1000</v>
      </c>
      <c r="I39" s="386">
        <v>1500</v>
      </c>
      <c r="J39" s="386">
        <v>1000</v>
      </c>
      <c r="K39" s="386">
        <v>1000</v>
      </c>
      <c r="L39" s="578">
        <f t="shared" si="21"/>
        <v>7534.5</v>
      </c>
      <c r="M39" s="408">
        <f t="shared" si="16"/>
        <v>66.666666666666657</v>
      </c>
      <c r="N39" s="426">
        <f t="shared" si="17"/>
        <v>100</v>
      </c>
    </row>
    <row r="40" spans="1:14" ht="14.25" x14ac:dyDescent="0.2">
      <c r="A40" s="394" t="s">
        <v>385</v>
      </c>
      <c r="B40" s="486"/>
      <c r="C40" s="390">
        <v>3233</v>
      </c>
      <c r="D40" s="391" t="s">
        <v>59</v>
      </c>
      <c r="E40" s="386">
        <v>25000</v>
      </c>
      <c r="F40" s="386">
        <v>25000</v>
      </c>
      <c r="G40" s="386">
        <f t="shared" si="20"/>
        <v>3318.0702103656513</v>
      </c>
      <c r="H40" s="386">
        <v>5000</v>
      </c>
      <c r="I40" s="386">
        <v>25000</v>
      </c>
      <c r="J40" s="386">
        <v>25000</v>
      </c>
      <c r="K40" s="386">
        <v>25000</v>
      </c>
      <c r="L40" s="578">
        <f t="shared" si="21"/>
        <v>188362.5</v>
      </c>
      <c r="M40" s="408">
        <f t="shared" si="16"/>
        <v>100</v>
      </c>
      <c r="N40" s="426">
        <f t="shared" si="17"/>
        <v>100</v>
      </c>
    </row>
    <row r="41" spans="1:14" ht="14.25" x14ac:dyDescent="0.2">
      <c r="A41" s="394" t="s">
        <v>385</v>
      </c>
      <c r="B41" s="486"/>
      <c r="C41" s="390">
        <v>3234</v>
      </c>
      <c r="D41" s="391" t="s">
        <v>60</v>
      </c>
      <c r="E41" s="386">
        <v>15000</v>
      </c>
      <c r="F41" s="386">
        <v>40000</v>
      </c>
      <c r="G41" s="386">
        <f t="shared" si="20"/>
        <v>5308.9123365850419</v>
      </c>
      <c r="H41" s="386">
        <v>8000</v>
      </c>
      <c r="I41" s="386">
        <v>9000</v>
      </c>
      <c r="J41" s="386">
        <v>9000</v>
      </c>
      <c r="K41" s="386">
        <v>9000</v>
      </c>
      <c r="L41" s="578">
        <f t="shared" si="21"/>
        <v>67810.5</v>
      </c>
      <c r="M41" s="408">
        <f t="shared" si="16"/>
        <v>100</v>
      </c>
      <c r="N41" s="426">
        <f t="shared" si="17"/>
        <v>100</v>
      </c>
    </row>
    <row r="42" spans="1:14" ht="14.25" x14ac:dyDescent="0.2">
      <c r="A42" s="394" t="s">
        <v>385</v>
      </c>
      <c r="B42" s="486"/>
      <c r="C42" s="390">
        <v>3236</v>
      </c>
      <c r="D42" s="391" t="s">
        <v>388</v>
      </c>
      <c r="E42" s="386">
        <v>2000</v>
      </c>
      <c r="F42" s="386">
        <v>7500</v>
      </c>
      <c r="G42" s="386">
        <f t="shared" si="20"/>
        <v>995.4210631096953</v>
      </c>
      <c r="H42" s="720">
        <v>0</v>
      </c>
      <c r="I42" s="720">
        <v>1800</v>
      </c>
      <c r="J42" s="720">
        <v>0</v>
      </c>
      <c r="K42" s="720">
        <v>1800</v>
      </c>
      <c r="L42" s="578">
        <f t="shared" si="21"/>
        <v>13562.1</v>
      </c>
      <c r="M42" s="408">
        <f t="shared" si="16"/>
        <v>0</v>
      </c>
      <c r="N42" s="426" t="e">
        <f t="shared" si="17"/>
        <v>#DIV/0!</v>
      </c>
    </row>
    <row r="43" spans="1:14" ht="14.25" x14ac:dyDescent="0.2">
      <c r="A43" s="394" t="s">
        <v>385</v>
      </c>
      <c r="B43" s="486"/>
      <c r="C43" s="390">
        <v>3237</v>
      </c>
      <c r="D43" s="391" t="s">
        <v>62</v>
      </c>
      <c r="E43" s="386">
        <v>140000</v>
      </c>
      <c r="F43" s="386">
        <v>200000</v>
      </c>
      <c r="G43" s="386">
        <f t="shared" si="20"/>
        <v>26544.56168292521</v>
      </c>
      <c r="H43" s="386">
        <v>25000</v>
      </c>
      <c r="I43" s="386">
        <v>50000</v>
      </c>
      <c r="J43" s="386">
        <v>50000</v>
      </c>
      <c r="K43" s="386">
        <v>50000</v>
      </c>
      <c r="L43" s="578">
        <f t="shared" si="21"/>
        <v>376725</v>
      </c>
      <c r="M43" s="408">
        <f t="shared" si="16"/>
        <v>100</v>
      </c>
      <c r="N43" s="426">
        <f t="shared" si="17"/>
        <v>100</v>
      </c>
    </row>
    <row r="44" spans="1:14" ht="14.25" x14ac:dyDescent="0.2">
      <c r="A44" s="394" t="s">
        <v>385</v>
      </c>
      <c r="B44" s="486"/>
      <c r="C44" s="390">
        <v>3238</v>
      </c>
      <c r="D44" s="391" t="s">
        <v>63</v>
      </c>
      <c r="E44" s="386">
        <v>12000</v>
      </c>
      <c r="F44" s="386">
        <v>25000</v>
      </c>
      <c r="G44" s="386">
        <f t="shared" si="20"/>
        <v>3318.0702103656513</v>
      </c>
      <c r="H44" s="386">
        <v>4000</v>
      </c>
      <c r="I44" s="386">
        <v>6000</v>
      </c>
      <c r="J44" s="386">
        <v>6000</v>
      </c>
      <c r="K44" s="386">
        <v>6000</v>
      </c>
      <c r="L44" s="578">
        <f t="shared" si="21"/>
        <v>45207</v>
      </c>
      <c r="M44" s="408">
        <f t="shared" si="16"/>
        <v>100</v>
      </c>
      <c r="N44" s="426">
        <f t="shared" si="17"/>
        <v>100</v>
      </c>
    </row>
    <row r="45" spans="1:14" ht="14.25" x14ac:dyDescent="0.2">
      <c r="A45" s="394" t="s">
        <v>385</v>
      </c>
      <c r="B45" s="486"/>
      <c r="C45" s="390">
        <v>3239</v>
      </c>
      <c r="D45" s="391" t="s">
        <v>64</v>
      </c>
      <c r="E45" s="386">
        <v>40000</v>
      </c>
      <c r="F45" s="386">
        <v>100000</v>
      </c>
      <c r="G45" s="386">
        <f t="shared" si="20"/>
        <v>13272.280841462605</v>
      </c>
      <c r="H45" s="386">
        <v>13500</v>
      </c>
      <c r="I45" s="386">
        <v>14000</v>
      </c>
      <c r="J45" s="386">
        <v>10000</v>
      </c>
      <c r="K45" s="386">
        <v>10000</v>
      </c>
      <c r="L45" s="578">
        <f t="shared" si="21"/>
        <v>75345</v>
      </c>
      <c r="M45" s="408">
        <f t="shared" si="16"/>
        <v>71.428571428571431</v>
      </c>
      <c r="N45" s="426">
        <f t="shared" si="17"/>
        <v>100</v>
      </c>
    </row>
    <row r="46" spans="1:14" ht="14.25" x14ac:dyDescent="0.2">
      <c r="A46" s="394" t="s">
        <v>385</v>
      </c>
      <c r="B46" s="486"/>
      <c r="C46" s="390">
        <v>324</v>
      </c>
      <c r="D46" s="391" t="s">
        <v>140</v>
      </c>
      <c r="E46" s="386">
        <v>5000</v>
      </c>
      <c r="F46" s="386">
        <f t="shared" ref="F46:L46" si="22">SUM(F47)</f>
        <v>35000</v>
      </c>
      <c r="G46" s="386">
        <f t="shared" si="22"/>
        <v>4645.298294511912</v>
      </c>
      <c r="H46" s="386">
        <f t="shared" si="22"/>
        <v>6500</v>
      </c>
      <c r="I46" s="386">
        <f t="shared" si="22"/>
        <v>7000</v>
      </c>
      <c r="J46" s="386">
        <f t="shared" si="22"/>
        <v>7000</v>
      </c>
      <c r="K46" s="386">
        <f t="shared" si="22"/>
        <v>7000</v>
      </c>
      <c r="L46" s="578">
        <f t="shared" si="22"/>
        <v>52741.5</v>
      </c>
      <c r="M46" s="408">
        <f t="shared" si="16"/>
        <v>100</v>
      </c>
      <c r="N46" s="426">
        <f t="shared" si="17"/>
        <v>100</v>
      </c>
    </row>
    <row r="47" spans="1:14" ht="14.25" x14ac:dyDescent="0.2">
      <c r="A47" s="394" t="s">
        <v>385</v>
      </c>
      <c r="B47" s="486"/>
      <c r="C47" s="390">
        <v>3241</v>
      </c>
      <c r="D47" s="391" t="s">
        <v>140</v>
      </c>
      <c r="E47" s="386">
        <v>5000</v>
      </c>
      <c r="F47" s="386">
        <v>35000</v>
      </c>
      <c r="G47" s="386">
        <f>F47/7.5345</f>
        <v>4645.298294511912</v>
      </c>
      <c r="H47" s="386">
        <v>6500</v>
      </c>
      <c r="I47" s="386">
        <v>7000</v>
      </c>
      <c r="J47" s="386">
        <v>7000</v>
      </c>
      <c r="K47" s="386">
        <v>7000</v>
      </c>
      <c r="L47" s="578">
        <f>K47*7.5345</f>
        <v>52741.5</v>
      </c>
      <c r="M47" s="408">
        <f t="shared" si="16"/>
        <v>100</v>
      </c>
      <c r="N47" s="426">
        <f t="shared" si="17"/>
        <v>100</v>
      </c>
    </row>
    <row r="48" spans="1:14" ht="14.25" x14ac:dyDescent="0.2">
      <c r="A48" s="394" t="s">
        <v>385</v>
      </c>
      <c r="B48" s="486"/>
      <c r="C48" s="390">
        <v>329</v>
      </c>
      <c r="D48" s="391" t="s">
        <v>65</v>
      </c>
      <c r="E48" s="386">
        <f t="shared" ref="E48:K48" si="23">SUM(E49:E52)</f>
        <v>50000</v>
      </c>
      <c r="F48" s="386">
        <f t="shared" si="23"/>
        <v>95000</v>
      </c>
      <c r="G48" s="386">
        <f t="shared" si="23"/>
        <v>12608.666799389473</v>
      </c>
      <c r="H48" s="386">
        <f>SUM(H49:H52)</f>
        <v>17500</v>
      </c>
      <c r="I48" s="386">
        <f t="shared" si="23"/>
        <v>14500</v>
      </c>
      <c r="J48" s="386">
        <f t="shared" si="23"/>
        <v>15500</v>
      </c>
      <c r="K48" s="386">
        <f t="shared" si="23"/>
        <v>15500</v>
      </c>
      <c r="L48" s="578">
        <f>SUM(L49:L52)</f>
        <v>116784.75</v>
      </c>
      <c r="M48" s="408">
        <f t="shared" si="16"/>
        <v>106.89655172413792</v>
      </c>
      <c r="N48" s="426">
        <f t="shared" si="17"/>
        <v>100</v>
      </c>
    </row>
    <row r="49" spans="1:14" ht="14.25" x14ac:dyDescent="0.2">
      <c r="A49" s="394" t="s">
        <v>385</v>
      </c>
      <c r="B49" s="486"/>
      <c r="C49" s="390">
        <v>3292</v>
      </c>
      <c r="D49" s="391" t="s">
        <v>67</v>
      </c>
      <c r="E49" s="386">
        <v>20000</v>
      </c>
      <c r="F49" s="386">
        <v>15000</v>
      </c>
      <c r="G49" s="386">
        <f>F49/7.5345</f>
        <v>1990.8421262193906</v>
      </c>
      <c r="H49" s="855">
        <v>4000</v>
      </c>
      <c r="I49" s="386">
        <v>2000</v>
      </c>
      <c r="J49" s="386">
        <v>2000</v>
      </c>
      <c r="K49" s="386">
        <v>2000</v>
      </c>
      <c r="L49" s="578">
        <f>K49*7.5345</f>
        <v>15069</v>
      </c>
      <c r="M49" s="408">
        <f t="shared" si="16"/>
        <v>100</v>
      </c>
      <c r="N49" s="426">
        <f t="shared" si="17"/>
        <v>100</v>
      </c>
    </row>
    <row r="50" spans="1:14" ht="14.25" x14ac:dyDescent="0.2">
      <c r="A50" s="394" t="s">
        <v>385</v>
      </c>
      <c r="B50" s="486"/>
      <c r="C50" s="390">
        <v>3293</v>
      </c>
      <c r="D50" s="391" t="s">
        <v>68</v>
      </c>
      <c r="E50" s="386">
        <v>10000</v>
      </c>
      <c r="F50" s="386">
        <v>20000</v>
      </c>
      <c r="G50" s="386">
        <f>F50/7.5345</f>
        <v>2654.4561682925209</v>
      </c>
      <c r="H50" s="720">
        <v>5000</v>
      </c>
      <c r="I50" s="720">
        <v>5000</v>
      </c>
      <c r="J50" s="720">
        <v>5000</v>
      </c>
      <c r="K50" s="720">
        <v>5000</v>
      </c>
      <c r="L50" s="578">
        <f>K50*7.5345</f>
        <v>37672.5</v>
      </c>
      <c r="M50" s="408">
        <f t="shared" si="16"/>
        <v>100</v>
      </c>
      <c r="N50" s="426">
        <f t="shared" si="17"/>
        <v>100</v>
      </c>
    </row>
    <row r="51" spans="1:14" ht="14.25" x14ac:dyDescent="0.2">
      <c r="A51" s="394" t="s">
        <v>385</v>
      </c>
      <c r="B51" s="486"/>
      <c r="C51" s="390">
        <v>3295</v>
      </c>
      <c r="D51" s="391" t="s">
        <v>191</v>
      </c>
      <c r="E51" s="386">
        <v>10000</v>
      </c>
      <c r="F51" s="386">
        <v>50000</v>
      </c>
      <c r="G51" s="386">
        <f>F51/7.5345</f>
        <v>6636.1404207313026</v>
      </c>
      <c r="H51" s="386">
        <v>7000</v>
      </c>
      <c r="I51" s="386">
        <v>6000</v>
      </c>
      <c r="J51" s="386">
        <v>7000</v>
      </c>
      <c r="K51" s="386">
        <v>7000</v>
      </c>
      <c r="L51" s="578">
        <f>K51*7.5345</f>
        <v>52741.5</v>
      </c>
      <c r="M51" s="408">
        <f t="shared" si="16"/>
        <v>116.66666666666667</v>
      </c>
      <c r="N51" s="426">
        <f t="shared" si="17"/>
        <v>100</v>
      </c>
    </row>
    <row r="52" spans="1:14" s="29" customFormat="1" ht="14.25" x14ac:dyDescent="0.2">
      <c r="A52" s="394" t="s">
        <v>385</v>
      </c>
      <c r="B52" s="486"/>
      <c r="C52" s="390">
        <v>3299</v>
      </c>
      <c r="D52" s="391" t="s">
        <v>65</v>
      </c>
      <c r="E52" s="386">
        <v>10000</v>
      </c>
      <c r="F52" s="386">
        <v>10000</v>
      </c>
      <c r="G52" s="386">
        <f>F52/7.5345</f>
        <v>1327.2280841462605</v>
      </c>
      <c r="H52" s="386">
        <v>1500</v>
      </c>
      <c r="I52" s="386">
        <v>1500</v>
      </c>
      <c r="J52" s="386">
        <v>1500</v>
      </c>
      <c r="K52" s="386">
        <v>1500</v>
      </c>
      <c r="L52" s="578">
        <f>K52*7.5345</f>
        <v>11301.75</v>
      </c>
      <c r="M52" s="408">
        <f t="shared" si="16"/>
        <v>100</v>
      </c>
      <c r="N52" s="426">
        <f t="shared" si="17"/>
        <v>100</v>
      </c>
    </row>
    <row r="53" spans="1:14" ht="16.5" customHeight="1" x14ac:dyDescent="0.25">
      <c r="A53" s="428" t="s">
        <v>385</v>
      </c>
      <c r="B53" s="487"/>
      <c r="C53" s="377">
        <v>34</v>
      </c>
      <c r="D53" s="388" t="s">
        <v>70</v>
      </c>
      <c r="E53" s="385">
        <v>17200</v>
      </c>
      <c r="F53" s="385">
        <f t="shared" ref="F53:L53" si="24">F54</f>
        <v>35000</v>
      </c>
      <c r="G53" s="385">
        <f t="shared" si="24"/>
        <v>4645.2982945119111</v>
      </c>
      <c r="H53" s="385">
        <f t="shared" si="24"/>
        <v>4600</v>
      </c>
      <c r="I53" s="385">
        <f t="shared" si="24"/>
        <v>4600</v>
      </c>
      <c r="J53" s="385">
        <f t="shared" si="24"/>
        <v>5000</v>
      </c>
      <c r="K53" s="385">
        <f t="shared" si="24"/>
        <v>5500</v>
      </c>
      <c r="L53" s="579">
        <f t="shared" si="24"/>
        <v>41439.75</v>
      </c>
      <c r="M53" s="408">
        <f t="shared" si="16"/>
        <v>108.69565217391303</v>
      </c>
      <c r="N53" s="426">
        <f t="shared" si="17"/>
        <v>110.00000000000001</v>
      </c>
    </row>
    <row r="54" spans="1:14" ht="14.25" x14ac:dyDescent="0.2">
      <c r="A54" s="394" t="s">
        <v>385</v>
      </c>
      <c r="B54" s="486"/>
      <c r="C54" s="390">
        <v>343</v>
      </c>
      <c r="D54" s="391" t="s">
        <v>71</v>
      </c>
      <c r="E54" s="386">
        <f t="shared" ref="E54:K54" si="25">SUM(E55:E57)</f>
        <v>17200</v>
      </c>
      <c r="F54" s="386">
        <f t="shared" si="25"/>
        <v>35000</v>
      </c>
      <c r="G54" s="386">
        <f t="shared" si="25"/>
        <v>4645.2982945119111</v>
      </c>
      <c r="H54" s="386">
        <f>SUM(H55:H57)</f>
        <v>4600</v>
      </c>
      <c r="I54" s="386">
        <f t="shared" si="25"/>
        <v>4600</v>
      </c>
      <c r="J54" s="386">
        <f t="shared" si="25"/>
        <v>5000</v>
      </c>
      <c r="K54" s="386">
        <f t="shared" si="25"/>
        <v>5500</v>
      </c>
      <c r="L54" s="578">
        <f>SUM(L55:L57)</f>
        <v>41439.75</v>
      </c>
      <c r="M54" s="408">
        <f t="shared" si="16"/>
        <v>108.69565217391303</v>
      </c>
      <c r="N54" s="426">
        <f t="shared" si="17"/>
        <v>110.00000000000001</v>
      </c>
    </row>
    <row r="55" spans="1:14" ht="14.25" x14ac:dyDescent="0.2">
      <c r="A55" s="394" t="s">
        <v>385</v>
      </c>
      <c r="B55" s="486"/>
      <c r="C55" s="390">
        <v>3431</v>
      </c>
      <c r="D55" s="391" t="s">
        <v>72</v>
      </c>
      <c r="E55" s="386">
        <v>12000</v>
      </c>
      <c r="F55" s="386">
        <v>20000</v>
      </c>
      <c r="G55" s="386">
        <f>F55/7.5345</f>
        <v>2654.4561682925209</v>
      </c>
      <c r="H55" s="386">
        <v>2500</v>
      </c>
      <c r="I55" s="386">
        <v>2500</v>
      </c>
      <c r="J55" s="386">
        <v>3000</v>
      </c>
      <c r="K55" s="386">
        <v>3500</v>
      </c>
      <c r="L55" s="578">
        <f>K55*7.5345</f>
        <v>26370.75</v>
      </c>
      <c r="M55" s="408">
        <f t="shared" si="16"/>
        <v>120</v>
      </c>
      <c r="N55" s="426">
        <f t="shared" si="17"/>
        <v>116.66666666666667</v>
      </c>
    </row>
    <row r="56" spans="1:14" s="414" customFormat="1" ht="15" thickBot="1" x14ac:dyDescent="0.25">
      <c r="A56" s="394" t="s">
        <v>385</v>
      </c>
      <c r="B56" s="486"/>
      <c r="C56" s="390">
        <v>3433</v>
      </c>
      <c r="D56" s="391" t="s">
        <v>73</v>
      </c>
      <c r="E56" s="386">
        <v>200</v>
      </c>
      <c r="F56" s="386">
        <v>10000</v>
      </c>
      <c r="G56" s="386">
        <f>F56/7.5345</f>
        <v>1327.2280841462605</v>
      </c>
      <c r="H56" s="386">
        <v>1400</v>
      </c>
      <c r="I56" s="386">
        <v>1400</v>
      </c>
      <c r="J56" s="386">
        <v>1000</v>
      </c>
      <c r="K56" s="386">
        <v>1000</v>
      </c>
      <c r="L56" s="578">
        <f>K56*7.5345</f>
        <v>7534.5</v>
      </c>
      <c r="M56" s="408">
        <f t="shared" si="16"/>
        <v>71.428571428571431</v>
      </c>
      <c r="N56" s="426">
        <f t="shared" si="17"/>
        <v>100</v>
      </c>
    </row>
    <row r="57" spans="1:14" ht="15.75" thickTop="1" thickBot="1" x14ac:dyDescent="0.25">
      <c r="A57" s="429" t="s">
        <v>385</v>
      </c>
      <c r="B57" s="488"/>
      <c r="C57" s="410">
        <v>3434</v>
      </c>
      <c r="D57" s="411" t="s">
        <v>74</v>
      </c>
      <c r="E57" s="412">
        <v>5000</v>
      </c>
      <c r="F57" s="412">
        <v>5000</v>
      </c>
      <c r="G57" s="412">
        <f>F57/7.5345</f>
        <v>663.61404207313024</v>
      </c>
      <c r="H57" s="412">
        <v>700</v>
      </c>
      <c r="I57" s="412">
        <v>700</v>
      </c>
      <c r="J57" s="412">
        <v>1000</v>
      </c>
      <c r="K57" s="412">
        <v>1000</v>
      </c>
      <c r="L57" s="580">
        <f>K57*7.5345</f>
        <v>7534.5</v>
      </c>
      <c r="M57" s="477">
        <f t="shared" si="16"/>
        <v>142.85714285714286</v>
      </c>
      <c r="N57" s="478">
        <f t="shared" si="17"/>
        <v>100</v>
      </c>
    </row>
    <row r="58" spans="1:14" ht="15" thickTop="1" x14ac:dyDescent="0.2">
      <c r="A58" s="425"/>
      <c r="B58" s="42"/>
      <c r="C58" s="42"/>
      <c r="D58" s="419" t="s">
        <v>176</v>
      </c>
      <c r="E58" s="409"/>
      <c r="F58" s="575"/>
      <c r="G58" s="575"/>
      <c r="H58" s="395"/>
      <c r="I58" s="395"/>
      <c r="J58" s="395"/>
      <c r="K58" s="395"/>
      <c r="L58" s="575"/>
      <c r="M58" s="964">
        <f>AVERAGE(J60/I60*100)</f>
        <v>50</v>
      </c>
      <c r="N58" s="962">
        <f>AVERAGE(K60/J60*100)</f>
        <v>89.65517241379311</v>
      </c>
    </row>
    <row r="59" spans="1:14" s="116" customFormat="1" ht="15.75" x14ac:dyDescent="0.25">
      <c r="A59" s="425"/>
      <c r="B59" s="42"/>
      <c r="C59" s="42"/>
      <c r="D59" s="419" t="s">
        <v>498</v>
      </c>
      <c r="E59" s="402"/>
      <c r="F59" s="395"/>
      <c r="G59" s="395"/>
      <c r="H59" s="395"/>
      <c r="I59" s="395"/>
      <c r="J59" s="395"/>
      <c r="K59" s="395"/>
      <c r="L59" s="575"/>
      <c r="M59" s="965"/>
      <c r="N59" s="963"/>
    </row>
    <row r="60" spans="1:14" s="29" customFormat="1" ht="15.75" x14ac:dyDescent="0.25">
      <c r="A60" s="457"/>
      <c r="B60" s="116"/>
      <c r="C60" s="116"/>
      <c r="D60" s="454" t="s">
        <v>533</v>
      </c>
      <c r="E60" s="455">
        <v>81000</v>
      </c>
      <c r="F60" s="456">
        <f t="shared" ref="F60:L61" si="26">SUM(F61)</f>
        <v>57500</v>
      </c>
      <c r="G60" s="456">
        <f t="shared" si="26"/>
        <v>7631.5614838409974</v>
      </c>
      <c r="H60" s="456">
        <f t="shared" si="26"/>
        <v>39000</v>
      </c>
      <c r="I60" s="456">
        <f t="shared" si="26"/>
        <v>58000</v>
      </c>
      <c r="J60" s="456">
        <f t="shared" si="26"/>
        <v>29000</v>
      </c>
      <c r="K60" s="456">
        <f t="shared" si="26"/>
        <v>26000</v>
      </c>
      <c r="L60" s="576">
        <f t="shared" si="26"/>
        <v>195897</v>
      </c>
      <c r="M60" s="965"/>
      <c r="N60" s="963"/>
    </row>
    <row r="61" spans="1:14" ht="15" x14ac:dyDescent="0.25">
      <c r="A61" s="381" t="s">
        <v>389</v>
      </c>
      <c r="B61" s="487"/>
      <c r="C61" s="377">
        <v>42</v>
      </c>
      <c r="D61" s="392" t="s">
        <v>96</v>
      </c>
      <c r="E61" s="385">
        <v>81000</v>
      </c>
      <c r="F61" s="385">
        <f t="shared" si="26"/>
        <v>57500</v>
      </c>
      <c r="G61" s="385">
        <f t="shared" si="26"/>
        <v>7631.5614838409974</v>
      </c>
      <c r="H61" s="385">
        <f t="shared" si="26"/>
        <v>39000</v>
      </c>
      <c r="I61" s="385">
        <f>SUM(I62+I68)</f>
        <v>58000</v>
      </c>
      <c r="J61" s="385">
        <f t="shared" ref="J61:K61" si="27">SUM(J62+J68)</f>
        <v>29000</v>
      </c>
      <c r="K61" s="385">
        <f t="shared" si="27"/>
        <v>26000</v>
      </c>
      <c r="L61" s="579">
        <f t="shared" si="26"/>
        <v>195897</v>
      </c>
      <c r="M61" s="408">
        <f t="shared" ref="M61:M69" si="28">AVERAGE(J61/I61*100)</f>
        <v>50</v>
      </c>
      <c r="N61" s="426">
        <f t="shared" ref="N61:N69" si="29">AVERAGE(K61/J61*100)</f>
        <v>89.65517241379311</v>
      </c>
    </row>
    <row r="62" spans="1:14" ht="14.25" x14ac:dyDescent="0.2">
      <c r="A62" s="378" t="s">
        <v>389</v>
      </c>
      <c r="B62" s="486"/>
      <c r="C62" s="390">
        <v>422</v>
      </c>
      <c r="D62" s="391" t="s">
        <v>99</v>
      </c>
      <c r="E62" s="386">
        <f t="shared" ref="E62:K62" si="30">SUM(E63:E67)</f>
        <v>81000</v>
      </c>
      <c r="F62" s="386">
        <f t="shared" si="30"/>
        <v>57500</v>
      </c>
      <c r="G62" s="386">
        <f t="shared" si="30"/>
        <v>7631.5614838409974</v>
      </c>
      <c r="H62" s="386">
        <f>SUM(H63:H67)</f>
        <v>39000</v>
      </c>
      <c r="I62" s="386">
        <f t="shared" si="30"/>
        <v>38000</v>
      </c>
      <c r="J62" s="386">
        <f t="shared" si="30"/>
        <v>29000</v>
      </c>
      <c r="K62" s="386">
        <f t="shared" si="30"/>
        <v>26000</v>
      </c>
      <c r="L62" s="578">
        <f>SUM(L63:L67)</f>
        <v>195897</v>
      </c>
      <c r="M62" s="408">
        <f t="shared" si="28"/>
        <v>76.31578947368422</v>
      </c>
      <c r="N62" s="426">
        <f t="shared" si="29"/>
        <v>89.65517241379311</v>
      </c>
    </row>
    <row r="63" spans="1:14" ht="14.25" x14ac:dyDescent="0.2">
      <c r="A63" s="378" t="s">
        <v>389</v>
      </c>
      <c r="B63" s="486"/>
      <c r="C63" s="390">
        <v>4221</v>
      </c>
      <c r="D63" s="391" t="s">
        <v>100</v>
      </c>
      <c r="E63" s="386">
        <v>25000</v>
      </c>
      <c r="F63" s="386">
        <v>20000</v>
      </c>
      <c r="G63" s="386">
        <f>F63/7.5345</f>
        <v>2654.4561682925209</v>
      </c>
      <c r="H63" s="386">
        <v>3000</v>
      </c>
      <c r="I63" s="386">
        <v>4000</v>
      </c>
      <c r="J63" s="386">
        <v>3000</v>
      </c>
      <c r="K63" s="386">
        <v>3000</v>
      </c>
      <c r="L63" s="578">
        <f>K63*7.5345</f>
        <v>22603.5</v>
      </c>
      <c r="M63" s="408">
        <f t="shared" si="28"/>
        <v>75</v>
      </c>
      <c r="N63" s="426">
        <f t="shared" si="29"/>
        <v>100</v>
      </c>
    </row>
    <row r="64" spans="1:14" ht="14.25" x14ac:dyDescent="0.2">
      <c r="A64" s="378" t="s">
        <v>389</v>
      </c>
      <c r="B64" s="486"/>
      <c r="C64" s="390">
        <v>4222</v>
      </c>
      <c r="D64" s="391" t="s">
        <v>101</v>
      </c>
      <c r="E64" s="386">
        <v>4000</v>
      </c>
      <c r="F64" s="386">
        <v>15000</v>
      </c>
      <c r="G64" s="386">
        <f>F64/7.5345</f>
        <v>1990.8421262193906</v>
      </c>
      <c r="H64" s="386">
        <v>4000</v>
      </c>
      <c r="I64" s="386">
        <v>1000</v>
      </c>
      <c r="J64" s="386">
        <v>4000</v>
      </c>
      <c r="K64" s="386">
        <v>1000</v>
      </c>
      <c r="L64" s="578">
        <f>K64*7.5345</f>
        <v>7534.5</v>
      </c>
      <c r="M64" s="408">
        <f t="shared" si="28"/>
        <v>400</v>
      </c>
      <c r="N64" s="426">
        <f t="shared" si="29"/>
        <v>25</v>
      </c>
    </row>
    <row r="65" spans="1:14" ht="14.25" x14ac:dyDescent="0.2">
      <c r="A65" s="378" t="s">
        <v>389</v>
      </c>
      <c r="B65" s="486"/>
      <c r="C65" s="390">
        <v>4223</v>
      </c>
      <c r="D65" s="391" t="s">
        <v>112</v>
      </c>
      <c r="E65" s="386">
        <v>20000</v>
      </c>
      <c r="F65" s="386">
        <v>5000</v>
      </c>
      <c r="G65" s="386">
        <f>F65/7.5345</f>
        <v>663.61404207313024</v>
      </c>
      <c r="H65" s="386">
        <v>1000</v>
      </c>
      <c r="I65" s="386">
        <v>2000</v>
      </c>
      <c r="J65" s="386">
        <v>1000</v>
      </c>
      <c r="K65" s="386">
        <v>1000</v>
      </c>
      <c r="L65" s="578">
        <f>K65*7.5345</f>
        <v>7534.5</v>
      </c>
      <c r="M65" s="408">
        <f t="shared" si="28"/>
        <v>50</v>
      </c>
      <c r="N65" s="426">
        <f t="shared" si="29"/>
        <v>100</v>
      </c>
    </row>
    <row r="66" spans="1:14" s="414" customFormat="1" ht="15" thickBot="1" x14ac:dyDescent="0.25">
      <c r="A66" s="378" t="s">
        <v>389</v>
      </c>
      <c r="B66" s="486"/>
      <c r="C66" s="390">
        <v>4226</v>
      </c>
      <c r="D66" s="391" t="s">
        <v>382</v>
      </c>
      <c r="E66" s="386">
        <v>2000</v>
      </c>
      <c r="F66" s="386">
        <v>7500</v>
      </c>
      <c r="G66" s="386">
        <f>F66/7.5345</f>
        <v>995.4210631096953</v>
      </c>
      <c r="H66" s="386">
        <v>1000</v>
      </c>
      <c r="I66" s="386">
        <v>1000</v>
      </c>
      <c r="J66" s="386">
        <v>1000</v>
      </c>
      <c r="K66" s="386">
        <v>1000</v>
      </c>
      <c r="L66" s="578">
        <f>K66*7.5345</f>
        <v>7534.5</v>
      </c>
      <c r="M66" s="408">
        <f t="shared" si="28"/>
        <v>100</v>
      </c>
      <c r="N66" s="426">
        <f t="shared" si="29"/>
        <v>100</v>
      </c>
    </row>
    <row r="67" spans="1:14" ht="15" thickTop="1" x14ac:dyDescent="0.2">
      <c r="A67" s="378" t="s">
        <v>389</v>
      </c>
      <c r="B67" s="486"/>
      <c r="C67" s="390">
        <v>4227</v>
      </c>
      <c r="D67" s="391" t="s">
        <v>102</v>
      </c>
      <c r="E67" s="386">
        <v>30000</v>
      </c>
      <c r="F67" s="386">
        <v>10000</v>
      </c>
      <c r="G67" s="386">
        <f>F67/7.5345</f>
        <v>1327.2280841462605</v>
      </c>
      <c r="H67" s="386">
        <v>30000</v>
      </c>
      <c r="I67" s="386">
        <v>30000</v>
      </c>
      <c r="J67" s="386">
        <v>20000</v>
      </c>
      <c r="K67" s="386">
        <v>20000</v>
      </c>
      <c r="L67" s="578">
        <f>K67*7.5345</f>
        <v>150690</v>
      </c>
      <c r="M67" s="403">
        <f t="shared" si="28"/>
        <v>66.666666666666657</v>
      </c>
      <c r="N67" s="427">
        <f t="shared" si="29"/>
        <v>100</v>
      </c>
    </row>
    <row r="68" spans="1:14" ht="14.25" x14ac:dyDescent="0.2">
      <c r="A68" s="378" t="s">
        <v>389</v>
      </c>
      <c r="B68" s="486"/>
      <c r="C68" s="390">
        <v>423</v>
      </c>
      <c r="D68" s="391" t="s">
        <v>575</v>
      </c>
      <c r="E68" s="386">
        <f t="shared" ref="E68:G68" si="31">SUM(E69:E73)</f>
        <v>80000</v>
      </c>
      <c r="F68" s="386">
        <f t="shared" si="31"/>
        <v>50000</v>
      </c>
      <c r="G68" s="386">
        <f t="shared" si="31"/>
        <v>6636.1404207313026</v>
      </c>
      <c r="H68" s="386">
        <f>SUM(H69:H73)</f>
        <v>34000</v>
      </c>
      <c r="I68" s="386">
        <f>SUM(I69)</f>
        <v>20000</v>
      </c>
      <c r="J68" s="386">
        <f t="shared" ref="J68:K68" si="32">SUM(J69)</f>
        <v>0</v>
      </c>
      <c r="K68" s="386">
        <f t="shared" si="32"/>
        <v>0</v>
      </c>
      <c r="L68" s="578">
        <f>SUM(L69:L73)</f>
        <v>75345</v>
      </c>
      <c r="M68" s="408">
        <f t="shared" si="28"/>
        <v>0</v>
      </c>
      <c r="N68" s="426" t="e">
        <f t="shared" si="29"/>
        <v>#DIV/0!</v>
      </c>
    </row>
    <row r="69" spans="1:14" s="116" customFormat="1" ht="16.5" thickBot="1" x14ac:dyDescent="0.3">
      <c r="A69" s="881" t="s">
        <v>389</v>
      </c>
      <c r="B69" s="494"/>
      <c r="C69" s="465">
        <v>4231</v>
      </c>
      <c r="D69" s="466" t="s">
        <v>576</v>
      </c>
      <c r="E69" s="467">
        <v>30000</v>
      </c>
      <c r="F69" s="467">
        <v>10000</v>
      </c>
      <c r="G69" s="467">
        <f>F69/7.5345</f>
        <v>1327.2280841462605</v>
      </c>
      <c r="H69" s="467">
        <v>30000</v>
      </c>
      <c r="I69" s="467">
        <v>20000</v>
      </c>
      <c r="J69" s="467">
        <v>0</v>
      </c>
      <c r="K69" s="467">
        <v>0</v>
      </c>
      <c r="L69" s="582">
        <f>K69*7.5345</f>
        <v>0</v>
      </c>
      <c r="M69" s="477">
        <f t="shared" si="28"/>
        <v>0</v>
      </c>
      <c r="N69" s="478" t="e">
        <f t="shared" si="29"/>
        <v>#DIV/0!</v>
      </c>
    </row>
    <row r="70" spans="1:14" s="29" customFormat="1" ht="15" thickTop="1" x14ac:dyDescent="0.2">
      <c r="A70" s="425"/>
      <c r="B70" s="42"/>
      <c r="C70" s="42"/>
      <c r="D70" s="419" t="s">
        <v>176</v>
      </c>
      <c r="E70" s="409"/>
      <c r="F70" s="395"/>
      <c r="G70" s="395"/>
      <c r="H70" s="395"/>
      <c r="I70" s="395"/>
      <c r="J70" s="395"/>
      <c r="K70" s="395"/>
      <c r="L70" s="575"/>
      <c r="M70" s="964">
        <f>AVERAGE(J72/I72*100)</f>
        <v>36.363636363636367</v>
      </c>
      <c r="N70" s="962">
        <f>AVERAGE(K72/J72*100)</f>
        <v>100</v>
      </c>
    </row>
    <row r="71" spans="1:14" ht="14.25" x14ac:dyDescent="0.2">
      <c r="A71" s="425"/>
      <c r="B71" s="42"/>
      <c r="C71" s="42"/>
      <c r="D71" s="419" t="s">
        <v>498</v>
      </c>
      <c r="E71" s="402"/>
      <c r="F71" s="395"/>
      <c r="G71" s="395"/>
      <c r="H71" s="395"/>
      <c r="I71" s="395"/>
      <c r="J71" s="395"/>
      <c r="K71" s="395"/>
      <c r="L71" s="575"/>
      <c r="M71" s="965"/>
      <c r="N71" s="963"/>
    </row>
    <row r="72" spans="1:14" s="414" customFormat="1" ht="16.5" thickBot="1" x14ac:dyDescent="0.3">
      <c r="A72" s="457"/>
      <c r="B72" s="116"/>
      <c r="C72" s="116"/>
      <c r="D72" s="454" t="s">
        <v>534</v>
      </c>
      <c r="E72" s="455">
        <v>25000</v>
      </c>
      <c r="F72" s="456">
        <f t="shared" ref="F72:L74" si="33">SUM(F73)</f>
        <v>20000</v>
      </c>
      <c r="G72" s="456">
        <f t="shared" si="33"/>
        <v>2654.4561682925209</v>
      </c>
      <c r="H72" s="456">
        <f t="shared" si="33"/>
        <v>2000</v>
      </c>
      <c r="I72" s="456">
        <f t="shared" si="33"/>
        <v>22000</v>
      </c>
      <c r="J72" s="456">
        <f t="shared" si="33"/>
        <v>8000</v>
      </c>
      <c r="K72" s="456">
        <f t="shared" si="33"/>
        <v>8000</v>
      </c>
      <c r="L72" s="576">
        <f t="shared" si="33"/>
        <v>37672.5</v>
      </c>
      <c r="M72" s="965"/>
      <c r="N72" s="963"/>
    </row>
    <row r="73" spans="1:14" ht="15.75" thickTop="1" x14ac:dyDescent="0.25">
      <c r="A73" s="381" t="s">
        <v>390</v>
      </c>
      <c r="B73" s="487"/>
      <c r="C73" s="377">
        <v>42</v>
      </c>
      <c r="D73" s="392" t="s">
        <v>96</v>
      </c>
      <c r="E73" s="385">
        <v>25000</v>
      </c>
      <c r="F73" s="385">
        <f t="shared" si="33"/>
        <v>20000</v>
      </c>
      <c r="G73" s="385">
        <f t="shared" si="33"/>
        <v>2654.4561682925209</v>
      </c>
      <c r="H73" s="385">
        <f t="shared" ref="H73:K73" si="34">SUM(H74+H76)</f>
        <v>2000</v>
      </c>
      <c r="I73" s="385">
        <f t="shared" si="34"/>
        <v>22000</v>
      </c>
      <c r="J73" s="385">
        <f t="shared" si="34"/>
        <v>8000</v>
      </c>
      <c r="K73" s="385">
        <f t="shared" si="34"/>
        <v>8000</v>
      </c>
      <c r="L73" s="579">
        <f t="shared" si="33"/>
        <v>37672.5</v>
      </c>
      <c r="M73" s="408">
        <f t="shared" ref="M73:N77" si="35">AVERAGE(J73/I73*100)</f>
        <v>36.363636363636367</v>
      </c>
      <c r="N73" s="426">
        <f t="shared" si="35"/>
        <v>100</v>
      </c>
    </row>
    <row r="74" spans="1:14" ht="14.25" x14ac:dyDescent="0.2">
      <c r="A74" s="378" t="s">
        <v>390</v>
      </c>
      <c r="B74" s="486"/>
      <c r="C74" s="390">
        <v>426</v>
      </c>
      <c r="D74" s="391" t="s">
        <v>117</v>
      </c>
      <c r="E74" s="386">
        <v>25000</v>
      </c>
      <c r="F74" s="386">
        <f t="shared" si="33"/>
        <v>20000</v>
      </c>
      <c r="G74" s="386">
        <f t="shared" si="33"/>
        <v>2654.4561682925209</v>
      </c>
      <c r="H74" s="386">
        <f t="shared" si="33"/>
        <v>2000</v>
      </c>
      <c r="I74" s="386">
        <f t="shared" si="33"/>
        <v>20000</v>
      </c>
      <c r="J74" s="386">
        <f t="shared" si="33"/>
        <v>5000</v>
      </c>
      <c r="K74" s="386">
        <f t="shared" si="33"/>
        <v>5000</v>
      </c>
      <c r="L74" s="578">
        <f t="shared" si="33"/>
        <v>37672.5</v>
      </c>
      <c r="M74" s="408">
        <f t="shared" si="35"/>
        <v>25</v>
      </c>
      <c r="N74" s="426">
        <f t="shared" si="35"/>
        <v>100</v>
      </c>
    </row>
    <row r="75" spans="1:14" s="116" customFormat="1" ht="15.75" x14ac:dyDescent="0.25">
      <c r="A75" s="379" t="s">
        <v>390</v>
      </c>
      <c r="B75" s="493"/>
      <c r="C75" s="423">
        <v>4262</v>
      </c>
      <c r="D75" s="393" t="s">
        <v>194</v>
      </c>
      <c r="E75" s="384">
        <v>25000</v>
      </c>
      <c r="F75" s="384">
        <v>20000</v>
      </c>
      <c r="G75" s="384">
        <f>F75/7.5345</f>
        <v>2654.4561682925209</v>
      </c>
      <c r="H75" s="384">
        <v>2000</v>
      </c>
      <c r="I75" s="384">
        <v>20000</v>
      </c>
      <c r="J75" s="384">
        <v>5000</v>
      </c>
      <c r="K75" s="384">
        <v>5000</v>
      </c>
      <c r="L75" s="581">
        <f>K75*7.5345</f>
        <v>37672.5</v>
      </c>
      <c r="M75" s="407">
        <f t="shared" si="35"/>
        <v>25</v>
      </c>
      <c r="N75" s="434">
        <f t="shared" si="35"/>
        <v>100</v>
      </c>
    </row>
    <row r="76" spans="1:14" s="29" customFormat="1" ht="14.25" x14ac:dyDescent="0.2">
      <c r="A76" s="378" t="s">
        <v>390</v>
      </c>
      <c r="B76" s="486"/>
      <c r="C76" s="390">
        <v>422</v>
      </c>
      <c r="D76" s="391" t="s">
        <v>99</v>
      </c>
      <c r="E76" s="386">
        <f>SUM(E77:E81)</f>
        <v>65000</v>
      </c>
      <c r="F76" s="386">
        <f>SUM(F77:F81)</f>
        <v>40000</v>
      </c>
      <c r="G76" s="386">
        <f>SUM(G77:G81)</f>
        <v>5308.9123365850419</v>
      </c>
      <c r="H76" s="386">
        <v>0</v>
      </c>
      <c r="I76" s="386">
        <f>SUM(I77)</f>
        <v>2000</v>
      </c>
      <c r="J76" s="386">
        <f>SUM(J77)</f>
        <v>3000</v>
      </c>
      <c r="K76" s="386">
        <f>SUM(K77)</f>
        <v>3000</v>
      </c>
      <c r="L76" s="578">
        <f>SUM(L77:L81)</f>
        <v>60276</v>
      </c>
      <c r="M76" s="403">
        <f t="shared" si="35"/>
        <v>150</v>
      </c>
      <c r="N76" s="427">
        <f t="shared" si="35"/>
        <v>100</v>
      </c>
    </row>
    <row r="77" spans="1:14" ht="15" thickBot="1" x14ac:dyDescent="0.25">
      <c r="A77" s="379" t="s">
        <v>390</v>
      </c>
      <c r="B77" s="493"/>
      <c r="C77" s="423">
        <v>4221</v>
      </c>
      <c r="D77" s="393" t="s">
        <v>100</v>
      </c>
      <c r="E77" s="384">
        <v>25000</v>
      </c>
      <c r="F77" s="384">
        <v>20000</v>
      </c>
      <c r="G77" s="384">
        <f>F77/7.5345</f>
        <v>2654.4561682925209</v>
      </c>
      <c r="H77" s="384">
        <v>0</v>
      </c>
      <c r="I77" s="384">
        <v>2000</v>
      </c>
      <c r="J77" s="384">
        <v>3000</v>
      </c>
      <c r="K77" s="384">
        <v>3000</v>
      </c>
      <c r="L77" s="581">
        <f>K77*7.5345</f>
        <v>22603.5</v>
      </c>
      <c r="M77" s="407">
        <f t="shared" si="35"/>
        <v>150</v>
      </c>
      <c r="N77" s="434">
        <f t="shared" si="35"/>
        <v>100</v>
      </c>
    </row>
    <row r="78" spans="1:14" s="414" customFormat="1" ht="15.75" thickTop="1" thickBot="1" x14ac:dyDescent="0.25">
      <c r="A78" s="864"/>
      <c r="B78" s="865"/>
      <c r="C78" s="866"/>
      <c r="D78" s="867" t="s">
        <v>176</v>
      </c>
      <c r="E78" s="868"/>
      <c r="F78" s="869"/>
      <c r="G78" s="869"/>
      <c r="H78" s="869"/>
      <c r="I78" s="869"/>
      <c r="J78" s="869"/>
      <c r="K78" s="869"/>
      <c r="L78" s="870"/>
      <c r="M78" s="990">
        <f>AVERAGE(J80/I80*100)</f>
        <v>100</v>
      </c>
      <c r="N78" s="991">
        <f>AVERAGE(K80/J80*100)</f>
        <v>100</v>
      </c>
    </row>
    <row r="79" spans="1:14" ht="15" thickTop="1" x14ac:dyDescent="0.2">
      <c r="A79" s="425"/>
      <c r="B79" s="491"/>
      <c r="C79" s="42"/>
      <c r="D79" s="419" t="s">
        <v>498</v>
      </c>
      <c r="E79" s="402"/>
      <c r="F79" s="395"/>
      <c r="G79" s="395"/>
      <c r="H79" s="395"/>
      <c r="I79" s="395"/>
      <c r="J79" s="395"/>
      <c r="K79" s="395"/>
      <c r="L79" s="575"/>
      <c r="M79" s="965"/>
      <c r="N79" s="963"/>
    </row>
    <row r="80" spans="1:14" ht="15.75" x14ac:dyDescent="0.25">
      <c r="A80" s="452"/>
      <c r="B80" s="871"/>
      <c r="C80" s="453"/>
      <c r="D80" s="454" t="s">
        <v>535</v>
      </c>
      <c r="E80" s="455">
        <v>20000</v>
      </c>
      <c r="F80" s="456">
        <f t="shared" ref="F80:L82" si="36">SUM(F81)</f>
        <v>10000</v>
      </c>
      <c r="G80" s="456">
        <f t="shared" si="36"/>
        <v>1327.2280841462605</v>
      </c>
      <c r="H80" s="456">
        <f t="shared" si="36"/>
        <v>1000</v>
      </c>
      <c r="I80" s="456">
        <f t="shared" si="36"/>
        <v>2500</v>
      </c>
      <c r="J80" s="456">
        <f t="shared" si="36"/>
        <v>2500</v>
      </c>
      <c r="K80" s="456">
        <f t="shared" si="36"/>
        <v>2500</v>
      </c>
      <c r="L80" s="576">
        <f t="shared" si="36"/>
        <v>18836.25</v>
      </c>
      <c r="M80" s="965"/>
      <c r="N80" s="963"/>
    </row>
    <row r="81" spans="1:14" s="116" customFormat="1" ht="15.75" x14ac:dyDescent="0.25">
      <c r="A81" s="381" t="s">
        <v>391</v>
      </c>
      <c r="B81" s="487"/>
      <c r="C81" s="377">
        <v>32</v>
      </c>
      <c r="D81" s="392" t="s">
        <v>47</v>
      </c>
      <c r="E81" s="385">
        <v>20000</v>
      </c>
      <c r="F81" s="385">
        <f t="shared" si="36"/>
        <v>10000</v>
      </c>
      <c r="G81" s="385">
        <f t="shared" si="36"/>
        <v>1327.2280841462605</v>
      </c>
      <c r="H81" s="385">
        <f t="shared" si="36"/>
        <v>1000</v>
      </c>
      <c r="I81" s="385">
        <f t="shared" si="36"/>
        <v>2500</v>
      </c>
      <c r="J81" s="385">
        <f t="shared" si="36"/>
        <v>2500</v>
      </c>
      <c r="K81" s="385">
        <f t="shared" si="36"/>
        <v>2500</v>
      </c>
      <c r="L81" s="579">
        <f t="shared" si="36"/>
        <v>18836.25</v>
      </c>
      <c r="M81" s="408">
        <f t="shared" ref="M81:N83" si="37">AVERAGE(J81/I81*100)</f>
        <v>100</v>
      </c>
      <c r="N81" s="426">
        <f t="shared" si="37"/>
        <v>100</v>
      </c>
    </row>
    <row r="82" spans="1:14" s="29" customFormat="1" ht="14.25" x14ac:dyDescent="0.2">
      <c r="A82" s="378" t="s">
        <v>391</v>
      </c>
      <c r="B82" s="486"/>
      <c r="C82" s="390">
        <v>323</v>
      </c>
      <c r="D82" s="391" t="s">
        <v>56</v>
      </c>
      <c r="E82" s="386">
        <v>20000</v>
      </c>
      <c r="F82" s="386">
        <f t="shared" si="36"/>
        <v>10000</v>
      </c>
      <c r="G82" s="386">
        <f t="shared" si="36"/>
        <v>1327.2280841462605</v>
      </c>
      <c r="H82" s="386">
        <f t="shared" si="36"/>
        <v>1000</v>
      </c>
      <c r="I82" s="386">
        <f t="shared" si="36"/>
        <v>2500</v>
      </c>
      <c r="J82" s="386">
        <f t="shared" si="36"/>
        <v>2500</v>
      </c>
      <c r="K82" s="386">
        <f t="shared" si="36"/>
        <v>2500</v>
      </c>
      <c r="L82" s="578">
        <f t="shared" si="36"/>
        <v>18836.25</v>
      </c>
      <c r="M82" s="408">
        <f t="shared" si="37"/>
        <v>100</v>
      </c>
      <c r="N82" s="426">
        <f t="shared" si="37"/>
        <v>100</v>
      </c>
    </row>
    <row r="83" spans="1:14" ht="15" thickBot="1" x14ac:dyDescent="0.25">
      <c r="A83" s="431" t="s">
        <v>391</v>
      </c>
      <c r="B83" s="488"/>
      <c r="C83" s="410">
        <v>3237</v>
      </c>
      <c r="D83" s="411" t="s">
        <v>62</v>
      </c>
      <c r="E83" s="412">
        <v>20000</v>
      </c>
      <c r="F83" s="412">
        <v>10000</v>
      </c>
      <c r="G83" s="412">
        <f>F83/7.5345</f>
        <v>1327.2280841462605</v>
      </c>
      <c r="H83" s="412">
        <v>1000</v>
      </c>
      <c r="I83" s="412">
        <v>2500</v>
      </c>
      <c r="J83" s="412">
        <v>2500</v>
      </c>
      <c r="K83" s="412">
        <v>2500</v>
      </c>
      <c r="L83" s="580">
        <f>K83*7.5345</f>
        <v>18836.25</v>
      </c>
      <c r="M83" s="477">
        <f t="shared" si="37"/>
        <v>100</v>
      </c>
      <c r="N83" s="478">
        <f t="shared" si="37"/>
        <v>100</v>
      </c>
    </row>
    <row r="84" spans="1:14" ht="15" thickTop="1" x14ac:dyDescent="0.2">
      <c r="A84" s="425"/>
      <c r="B84" s="491"/>
      <c r="C84" s="42"/>
      <c r="D84" s="419" t="s">
        <v>176</v>
      </c>
      <c r="E84" s="409"/>
      <c r="F84" s="395"/>
      <c r="G84" s="395"/>
      <c r="H84" s="395"/>
      <c r="I84" s="395"/>
      <c r="J84" s="395"/>
      <c r="K84" s="395"/>
      <c r="L84" s="575"/>
      <c r="M84" s="964">
        <f>AVERAGE(J86/I86*100)</f>
        <v>100</v>
      </c>
      <c r="N84" s="962">
        <f>AVERAGE(K86/J86*100)</f>
        <v>100</v>
      </c>
    </row>
    <row r="85" spans="1:14" s="676" customFormat="1" ht="17.25" customHeight="1" x14ac:dyDescent="0.2">
      <c r="A85" s="425"/>
      <c r="B85" s="491"/>
      <c r="C85" s="42"/>
      <c r="D85" s="419" t="s">
        <v>498</v>
      </c>
      <c r="E85" s="402"/>
      <c r="F85" s="395"/>
      <c r="G85" s="395"/>
      <c r="H85" s="395"/>
      <c r="I85" s="395"/>
      <c r="J85" s="395"/>
      <c r="K85" s="395"/>
      <c r="L85" s="575"/>
      <c r="M85" s="965"/>
      <c r="N85" s="963"/>
    </row>
    <row r="86" spans="1:14" ht="15.75" x14ac:dyDescent="0.25">
      <c r="A86" s="457"/>
      <c r="B86" s="492"/>
      <c r="C86" s="116"/>
      <c r="D86" s="454" t="s">
        <v>536</v>
      </c>
      <c r="E86" s="455">
        <v>40000</v>
      </c>
      <c r="F86" s="456">
        <f t="shared" ref="F86:L88" si="38">SUM(F87)</f>
        <v>20000</v>
      </c>
      <c r="G86" s="456">
        <f t="shared" si="38"/>
        <v>2654.4561682925209</v>
      </c>
      <c r="H86" s="456">
        <f t="shared" si="38"/>
        <v>3000</v>
      </c>
      <c r="I86" s="456">
        <f t="shared" si="38"/>
        <v>3000</v>
      </c>
      <c r="J86" s="456">
        <f t="shared" si="38"/>
        <v>3000</v>
      </c>
      <c r="K86" s="456">
        <f t="shared" si="38"/>
        <v>3000</v>
      </c>
      <c r="L86" s="576">
        <f t="shared" si="38"/>
        <v>22603.5</v>
      </c>
      <c r="M86" s="965"/>
      <c r="N86" s="963"/>
    </row>
    <row r="87" spans="1:14" ht="15" x14ac:dyDescent="0.25">
      <c r="A87" s="381" t="s">
        <v>392</v>
      </c>
      <c r="B87" s="487"/>
      <c r="C87" s="400">
        <v>38</v>
      </c>
      <c r="D87" s="401" t="s">
        <v>196</v>
      </c>
      <c r="E87" s="385">
        <v>40000</v>
      </c>
      <c r="F87" s="385">
        <f t="shared" si="38"/>
        <v>20000</v>
      </c>
      <c r="G87" s="385">
        <f t="shared" si="38"/>
        <v>2654.4561682925209</v>
      </c>
      <c r="H87" s="385">
        <f t="shared" si="38"/>
        <v>3000</v>
      </c>
      <c r="I87" s="385">
        <f t="shared" si="38"/>
        <v>3000</v>
      </c>
      <c r="J87" s="385">
        <f t="shared" si="38"/>
        <v>3000</v>
      </c>
      <c r="K87" s="385">
        <f t="shared" si="38"/>
        <v>3000</v>
      </c>
      <c r="L87" s="579">
        <f t="shared" si="38"/>
        <v>22603.5</v>
      </c>
      <c r="M87" s="408">
        <f t="shared" ref="M87:N90" si="39">AVERAGE(J87/I87*100)</f>
        <v>100</v>
      </c>
      <c r="N87" s="426">
        <f t="shared" si="39"/>
        <v>100</v>
      </c>
    </row>
    <row r="88" spans="1:14" s="116" customFormat="1" ht="15.75" x14ac:dyDescent="0.25">
      <c r="A88" s="378" t="s">
        <v>392</v>
      </c>
      <c r="B88" s="486" t="s">
        <v>393</v>
      </c>
      <c r="C88" s="398">
        <v>383</v>
      </c>
      <c r="D88" s="389" t="s">
        <v>197</v>
      </c>
      <c r="E88" s="386">
        <v>40000</v>
      </c>
      <c r="F88" s="386">
        <f t="shared" si="38"/>
        <v>20000</v>
      </c>
      <c r="G88" s="386">
        <f t="shared" si="38"/>
        <v>2654.4561682925209</v>
      </c>
      <c r="H88" s="386">
        <f t="shared" si="38"/>
        <v>3000</v>
      </c>
      <c r="I88" s="386">
        <f t="shared" si="38"/>
        <v>3000</v>
      </c>
      <c r="J88" s="386">
        <f t="shared" si="38"/>
        <v>3000</v>
      </c>
      <c r="K88" s="386">
        <f t="shared" si="38"/>
        <v>3000</v>
      </c>
      <c r="L88" s="578">
        <f t="shared" si="38"/>
        <v>22603.5</v>
      </c>
      <c r="M88" s="408">
        <f t="shared" si="39"/>
        <v>100</v>
      </c>
      <c r="N88" s="426">
        <f t="shared" si="39"/>
        <v>100</v>
      </c>
    </row>
    <row r="89" spans="1:14" s="29" customFormat="1" ht="15" thickBot="1" x14ac:dyDescent="0.25">
      <c r="A89" s="379" t="s">
        <v>392</v>
      </c>
      <c r="B89" s="493"/>
      <c r="C89" s="422">
        <v>3831</v>
      </c>
      <c r="D89" s="397" t="s">
        <v>198</v>
      </c>
      <c r="E89" s="384">
        <v>40000</v>
      </c>
      <c r="F89" s="384">
        <v>20000</v>
      </c>
      <c r="G89" s="386">
        <f>F89/7.5345</f>
        <v>2654.4561682925209</v>
      </c>
      <c r="H89" s="386">
        <v>3000</v>
      </c>
      <c r="I89" s="386">
        <v>3000</v>
      </c>
      <c r="J89" s="386">
        <v>3000</v>
      </c>
      <c r="K89" s="386">
        <v>3000</v>
      </c>
      <c r="L89" s="578">
        <f>K89*7.5345</f>
        <v>22603.5</v>
      </c>
      <c r="M89" s="408">
        <f t="shared" si="39"/>
        <v>100</v>
      </c>
      <c r="N89" s="426">
        <f t="shared" si="39"/>
        <v>100</v>
      </c>
    </row>
    <row r="90" spans="1:14" ht="18.75" thickBot="1" x14ac:dyDescent="0.25">
      <c r="A90" s="956" t="s">
        <v>537</v>
      </c>
      <c r="B90" s="957"/>
      <c r="C90" s="957"/>
      <c r="D90" s="958"/>
      <c r="E90" s="597">
        <v>175000</v>
      </c>
      <c r="F90" s="597">
        <f t="shared" ref="F90:L90" si="40">SUM(F93)</f>
        <v>185000</v>
      </c>
      <c r="G90" s="597">
        <f t="shared" si="40"/>
        <v>24553.719556705822</v>
      </c>
      <c r="H90" s="597">
        <f t="shared" si="40"/>
        <v>44000</v>
      </c>
      <c r="I90" s="597">
        <f t="shared" si="40"/>
        <v>24000</v>
      </c>
      <c r="J90" s="597">
        <f t="shared" si="40"/>
        <v>24000</v>
      </c>
      <c r="K90" s="597">
        <f t="shared" si="40"/>
        <v>24000</v>
      </c>
      <c r="L90" s="603">
        <f t="shared" si="40"/>
        <v>180828</v>
      </c>
      <c r="M90" s="598">
        <f t="shared" si="39"/>
        <v>100</v>
      </c>
      <c r="N90" s="599">
        <f t="shared" si="39"/>
        <v>100</v>
      </c>
    </row>
    <row r="91" spans="1:14" ht="14.25" x14ac:dyDescent="0.2">
      <c r="A91" s="425"/>
      <c r="B91" s="42"/>
      <c r="C91" s="42"/>
      <c r="D91" s="419" t="s">
        <v>176</v>
      </c>
      <c r="E91" s="396"/>
      <c r="F91" s="395"/>
      <c r="G91" s="395"/>
      <c r="H91" s="395"/>
      <c r="I91" s="395"/>
      <c r="J91" s="395"/>
      <c r="K91" s="395"/>
      <c r="L91" s="575"/>
      <c r="M91" s="964">
        <f>AVERAGE(J93/I93*100)</f>
        <v>100</v>
      </c>
      <c r="N91" s="962">
        <f>AVERAGE(K93/J93*100)</f>
        <v>100</v>
      </c>
    </row>
    <row r="92" spans="1:14" ht="14.25" x14ac:dyDescent="0.2">
      <c r="A92" s="425"/>
      <c r="B92" s="42"/>
      <c r="C92" s="42"/>
      <c r="D92" s="419" t="s">
        <v>500</v>
      </c>
      <c r="E92" s="386"/>
      <c r="F92" s="395"/>
      <c r="G92" s="395"/>
      <c r="H92" s="395"/>
      <c r="I92" s="395"/>
      <c r="J92" s="395"/>
      <c r="K92" s="395"/>
      <c r="L92" s="575"/>
      <c r="M92" s="965"/>
      <c r="N92" s="963"/>
    </row>
    <row r="93" spans="1:14" ht="15.75" x14ac:dyDescent="0.25">
      <c r="A93" s="457"/>
      <c r="B93" s="116"/>
      <c r="C93" s="116"/>
      <c r="D93" s="454" t="s">
        <v>538</v>
      </c>
      <c r="E93" s="458">
        <v>175000</v>
      </c>
      <c r="F93" s="456">
        <f t="shared" ref="F93:L94" si="41">SUM(F94)</f>
        <v>185000</v>
      </c>
      <c r="G93" s="456">
        <f t="shared" si="41"/>
        <v>24553.719556705822</v>
      </c>
      <c r="H93" s="456">
        <f t="shared" si="41"/>
        <v>44000</v>
      </c>
      <c r="I93" s="456">
        <f t="shared" si="41"/>
        <v>24000</v>
      </c>
      <c r="J93" s="456">
        <f t="shared" si="41"/>
        <v>24000</v>
      </c>
      <c r="K93" s="456">
        <f t="shared" si="41"/>
        <v>24000</v>
      </c>
      <c r="L93" s="576">
        <f t="shared" si="41"/>
        <v>180828</v>
      </c>
      <c r="M93" s="965"/>
      <c r="N93" s="963"/>
    </row>
    <row r="94" spans="1:14" s="605" customFormat="1" ht="18" x14ac:dyDescent="0.25">
      <c r="A94" s="381" t="s">
        <v>411</v>
      </c>
      <c r="B94" s="487"/>
      <c r="C94" s="400">
        <v>32</v>
      </c>
      <c r="D94" s="387" t="s">
        <v>178</v>
      </c>
      <c r="E94" s="385">
        <v>175000</v>
      </c>
      <c r="F94" s="385">
        <f t="shared" si="41"/>
        <v>185000</v>
      </c>
      <c r="G94" s="385">
        <f t="shared" si="41"/>
        <v>24553.719556705822</v>
      </c>
      <c r="H94" s="385">
        <f t="shared" si="41"/>
        <v>44000</v>
      </c>
      <c r="I94" s="385">
        <f t="shared" si="41"/>
        <v>24000</v>
      </c>
      <c r="J94" s="385">
        <f t="shared" si="41"/>
        <v>24000</v>
      </c>
      <c r="K94" s="385">
        <f t="shared" si="41"/>
        <v>24000</v>
      </c>
      <c r="L94" s="579">
        <f t="shared" si="41"/>
        <v>180828</v>
      </c>
      <c r="M94" s="408">
        <f t="shared" ref="M94:N98" si="42">AVERAGE(J94/I94*100)</f>
        <v>100</v>
      </c>
      <c r="N94" s="426">
        <f t="shared" si="42"/>
        <v>100</v>
      </c>
    </row>
    <row r="95" spans="1:14" ht="14.25" x14ac:dyDescent="0.2">
      <c r="A95" s="378" t="s">
        <v>411</v>
      </c>
      <c r="B95" s="486"/>
      <c r="C95" s="398">
        <v>329</v>
      </c>
      <c r="D95" s="389" t="s">
        <v>65</v>
      </c>
      <c r="E95" s="386">
        <f t="shared" ref="E95:K95" si="43">SUM(E96:E98)</f>
        <v>175000</v>
      </c>
      <c r="F95" s="386">
        <f t="shared" si="43"/>
        <v>185000</v>
      </c>
      <c r="G95" s="386">
        <f t="shared" si="43"/>
        <v>24553.719556705822</v>
      </c>
      <c r="H95" s="386">
        <f>SUM(H96:H98)</f>
        <v>44000</v>
      </c>
      <c r="I95" s="386">
        <f t="shared" si="43"/>
        <v>24000</v>
      </c>
      <c r="J95" s="386">
        <f t="shared" si="43"/>
        <v>24000</v>
      </c>
      <c r="K95" s="386">
        <f t="shared" si="43"/>
        <v>24000</v>
      </c>
      <c r="L95" s="578">
        <f>SUM(L96:L98)</f>
        <v>180828</v>
      </c>
      <c r="M95" s="408">
        <f t="shared" si="42"/>
        <v>100</v>
      </c>
      <c r="N95" s="426">
        <f t="shared" si="42"/>
        <v>100</v>
      </c>
    </row>
    <row r="96" spans="1:14" ht="14.25" x14ac:dyDescent="0.2">
      <c r="A96" s="378" t="s">
        <v>411</v>
      </c>
      <c r="B96" s="486"/>
      <c r="C96" s="398">
        <v>3291</v>
      </c>
      <c r="D96" s="389" t="s">
        <v>66</v>
      </c>
      <c r="E96" s="386">
        <v>150000</v>
      </c>
      <c r="F96" s="386">
        <v>140000</v>
      </c>
      <c r="G96" s="386">
        <f>F96/7.5345</f>
        <v>18581.193178047648</v>
      </c>
      <c r="H96" s="386">
        <v>35000</v>
      </c>
      <c r="I96" s="386">
        <v>10000</v>
      </c>
      <c r="J96" s="386">
        <v>10000</v>
      </c>
      <c r="K96" s="386">
        <v>10000</v>
      </c>
      <c r="L96" s="578">
        <f>K96*7.5345</f>
        <v>75345</v>
      </c>
      <c r="M96" s="408">
        <f t="shared" si="42"/>
        <v>100</v>
      </c>
      <c r="N96" s="426">
        <f t="shared" si="42"/>
        <v>100</v>
      </c>
    </row>
    <row r="97" spans="1:14" s="116" customFormat="1" ht="15.75" x14ac:dyDescent="0.25">
      <c r="A97" s="378" t="s">
        <v>411</v>
      </c>
      <c r="B97" s="486"/>
      <c r="C97" s="398">
        <v>3293</v>
      </c>
      <c r="D97" s="389" t="s">
        <v>68</v>
      </c>
      <c r="E97" s="386">
        <v>10000</v>
      </c>
      <c r="F97" s="386">
        <v>15000</v>
      </c>
      <c r="G97" s="386">
        <f>F97/7.5345</f>
        <v>1990.8421262193906</v>
      </c>
      <c r="H97" s="720">
        <v>5000</v>
      </c>
      <c r="I97" s="720">
        <v>10000</v>
      </c>
      <c r="J97" s="720">
        <v>10000</v>
      </c>
      <c r="K97" s="720">
        <v>10000</v>
      </c>
      <c r="L97" s="578">
        <f>K97*7.5345</f>
        <v>75345</v>
      </c>
      <c r="M97" s="408">
        <f t="shared" si="42"/>
        <v>100</v>
      </c>
      <c r="N97" s="426">
        <f t="shared" si="42"/>
        <v>100</v>
      </c>
    </row>
    <row r="98" spans="1:14" s="29" customFormat="1" ht="15" thickBot="1" x14ac:dyDescent="0.25">
      <c r="A98" s="378" t="s">
        <v>411</v>
      </c>
      <c r="B98" s="493"/>
      <c r="C98" s="422">
        <v>3294</v>
      </c>
      <c r="D98" s="397" t="s">
        <v>69</v>
      </c>
      <c r="E98" s="384">
        <v>15000</v>
      </c>
      <c r="F98" s="384">
        <v>30000</v>
      </c>
      <c r="G98" s="386">
        <f>F98/7.5345</f>
        <v>3981.6842524387812</v>
      </c>
      <c r="H98" s="386">
        <v>4000</v>
      </c>
      <c r="I98" s="386">
        <v>4000</v>
      </c>
      <c r="J98" s="386">
        <v>4000</v>
      </c>
      <c r="K98" s="386">
        <v>4000</v>
      </c>
      <c r="L98" s="578">
        <f>K98*7.5345</f>
        <v>30138</v>
      </c>
      <c r="M98" s="408">
        <f t="shared" si="42"/>
        <v>100</v>
      </c>
      <c r="N98" s="426">
        <f t="shared" si="42"/>
        <v>100</v>
      </c>
    </row>
    <row r="99" spans="1:14" s="29" customFormat="1" ht="18.75" thickBot="1" x14ac:dyDescent="0.25">
      <c r="A99" s="972" t="s">
        <v>539</v>
      </c>
      <c r="B99" s="973"/>
      <c r="C99" s="973"/>
      <c r="D99" s="974"/>
      <c r="E99" s="591">
        <v>0</v>
      </c>
      <c r="F99" s="591">
        <f t="shared" ref="F99:L99" si="44">SUM(F102)</f>
        <v>0</v>
      </c>
      <c r="G99" s="591">
        <f t="shared" si="44"/>
        <v>0</v>
      </c>
      <c r="H99" s="591">
        <f t="shared" si="44"/>
        <v>32500</v>
      </c>
      <c r="I99" s="591">
        <f t="shared" si="44"/>
        <v>0</v>
      </c>
      <c r="J99" s="591">
        <f t="shared" si="44"/>
        <v>0</v>
      </c>
      <c r="K99" s="591">
        <f t="shared" si="44"/>
        <v>0</v>
      </c>
      <c r="L99" s="596">
        <f t="shared" si="44"/>
        <v>0</v>
      </c>
      <c r="M99" s="606">
        <v>0</v>
      </c>
      <c r="N99" s="599">
        <v>0</v>
      </c>
    </row>
    <row r="100" spans="1:14" s="29" customFormat="1" ht="14.25" x14ac:dyDescent="0.2">
      <c r="A100" s="425"/>
      <c r="B100" s="42"/>
      <c r="C100" s="42"/>
      <c r="D100" s="419" t="s">
        <v>176</v>
      </c>
      <c r="E100" s="396"/>
      <c r="F100" s="395"/>
      <c r="G100" s="395"/>
      <c r="H100" s="395"/>
      <c r="I100" s="395"/>
      <c r="J100" s="395"/>
      <c r="K100" s="395"/>
      <c r="L100" s="575"/>
      <c r="M100" s="405"/>
      <c r="N100" s="433"/>
    </row>
    <row r="101" spans="1:14" ht="14.25" x14ac:dyDescent="0.2">
      <c r="A101" s="425"/>
      <c r="B101" s="42"/>
      <c r="C101" s="42"/>
      <c r="D101" s="419" t="s">
        <v>498</v>
      </c>
      <c r="E101" s="386"/>
      <c r="F101" s="395"/>
      <c r="G101" s="395"/>
      <c r="H101" s="395"/>
      <c r="I101" s="395"/>
      <c r="J101" s="395"/>
      <c r="K101" s="395"/>
      <c r="L101" s="575"/>
      <c r="M101" s="405"/>
      <c r="N101" s="433"/>
    </row>
    <row r="102" spans="1:14" ht="15.75" x14ac:dyDescent="0.25">
      <c r="A102" s="457"/>
      <c r="B102" s="116"/>
      <c r="C102" s="116"/>
      <c r="D102" s="454" t="s">
        <v>540</v>
      </c>
      <c r="E102" s="458">
        <v>0</v>
      </c>
      <c r="F102" s="456">
        <f t="shared" ref="F102:L102" si="45">SUM(F103+F110)</f>
        <v>0</v>
      </c>
      <c r="G102" s="456">
        <f t="shared" si="45"/>
        <v>0</v>
      </c>
      <c r="H102" s="456">
        <f>SUM(H103+H110)</f>
        <v>32500</v>
      </c>
      <c r="I102" s="456">
        <f t="shared" si="45"/>
        <v>0</v>
      </c>
      <c r="J102" s="456">
        <f t="shared" si="45"/>
        <v>0</v>
      </c>
      <c r="K102" s="456">
        <f t="shared" si="45"/>
        <v>0</v>
      </c>
      <c r="L102" s="576">
        <f t="shared" si="45"/>
        <v>0</v>
      </c>
      <c r="M102" s="459">
        <v>0</v>
      </c>
      <c r="N102" s="460">
        <v>0</v>
      </c>
    </row>
    <row r="103" spans="1:14" ht="15" x14ac:dyDescent="0.25">
      <c r="A103" s="381" t="s">
        <v>412</v>
      </c>
      <c r="B103" s="487"/>
      <c r="C103" s="400">
        <v>32</v>
      </c>
      <c r="D103" s="377" t="s">
        <v>178</v>
      </c>
      <c r="E103" s="385">
        <v>0</v>
      </c>
      <c r="F103" s="385">
        <f>SUM(F106+F108)</f>
        <v>0</v>
      </c>
      <c r="G103" s="385">
        <f>SUM(G106+G108)</f>
        <v>0</v>
      </c>
      <c r="H103" s="385">
        <f t="shared" ref="H103:K103" si="46">SUM(H104+H106+H108)</f>
        <v>22500</v>
      </c>
      <c r="I103" s="385">
        <f t="shared" si="46"/>
        <v>0</v>
      </c>
      <c r="J103" s="385">
        <f t="shared" si="46"/>
        <v>0</v>
      </c>
      <c r="K103" s="385">
        <f t="shared" si="46"/>
        <v>0</v>
      </c>
      <c r="L103" s="579">
        <f>SUM(L106+L108)</f>
        <v>0</v>
      </c>
      <c r="M103" s="403">
        <v>0</v>
      </c>
      <c r="N103" s="427">
        <v>0</v>
      </c>
    </row>
    <row r="104" spans="1:14" ht="15" x14ac:dyDescent="0.25">
      <c r="A104" s="378" t="s">
        <v>412</v>
      </c>
      <c r="B104" s="487"/>
      <c r="C104" s="398">
        <v>322</v>
      </c>
      <c r="D104" s="390" t="s">
        <v>52</v>
      </c>
      <c r="E104" s="385"/>
      <c r="F104" s="385"/>
      <c r="G104" s="385"/>
      <c r="H104" s="386">
        <f>H105</f>
        <v>500</v>
      </c>
      <c r="I104" s="386">
        <f>I105</f>
        <v>0</v>
      </c>
      <c r="J104" s="386">
        <v>0</v>
      </c>
      <c r="K104" s="386">
        <v>0</v>
      </c>
      <c r="L104" s="579"/>
      <c r="M104" s="403"/>
      <c r="N104" s="427"/>
    </row>
    <row r="105" spans="1:14" s="29" customFormat="1" ht="15" x14ac:dyDescent="0.25">
      <c r="A105" s="378" t="s">
        <v>412</v>
      </c>
      <c r="B105" s="487"/>
      <c r="C105" s="398">
        <v>3221</v>
      </c>
      <c r="D105" s="390" t="s">
        <v>53</v>
      </c>
      <c r="E105" s="385"/>
      <c r="F105" s="385"/>
      <c r="G105" s="385"/>
      <c r="H105" s="386">
        <v>500</v>
      </c>
      <c r="I105" s="386">
        <v>0</v>
      </c>
      <c r="J105" s="386">
        <v>0</v>
      </c>
      <c r="K105" s="386">
        <v>0</v>
      </c>
      <c r="L105" s="579"/>
      <c r="M105" s="403"/>
      <c r="N105" s="427"/>
    </row>
    <row r="106" spans="1:14" ht="14.25" x14ac:dyDescent="0.2">
      <c r="A106" s="378" t="s">
        <v>412</v>
      </c>
      <c r="B106" s="486"/>
      <c r="C106" s="398">
        <v>323</v>
      </c>
      <c r="D106" s="389" t="s">
        <v>56</v>
      </c>
      <c r="E106" s="386">
        <v>0</v>
      </c>
      <c r="F106" s="386">
        <f t="shared" ref="F106:L106" si="47">SUM(F107)</f>
        <v>0</v>
      </c>
      <c r="G106" s="386">
        <f t="shared" si="47"/>
        <v>0</v>
      </c>
      <c r="H106" s="386">
        <f>H107</f>
        <v>2000</v>
      </c>
      <c r="I106" s="386">
        <f>I107</f>
        <v>0</v>
      </c>
      <c r="J106" s="386">
        <f t="shared" si="47"/>
        <v>0</v>
      </c>
      <c r="K106" s="386">
        <f t="shared" si="47"/>
        <v>0</v>
      </c>
      <c r="L106" s="578">
        <f t="shared" si="47"/>
        <v>0</v>
      </c>
      <c r="M106" s="403">
        <v>0</v>
      </c>
      <c r="N106" s="427">
        <v>0</v>
      </c>
    </row>
    <row r="107" spans="1:14" ht="14.25" x14ac:dyDescent="0.2">
      <c r="A107" s="378" t="s">
        <v>412</v>
      </c>
      <c r="B107" s="486"/>
      <c r="C107" s="398">
        <v>3239</v>
      </c>
      <c r="D107" s="389" t="s">
        <v>64</v>
      </c>
      <c r="E107" s="386">
        <v>0</v>
      </c>
      <c r="F107" s="386">
        <v>0</v>
      </c>
      <c r="G107" s="386">
        <f t="shared" ref="G107:L107" si="48">F107/7.5345</f>
        <v>0</v>
      </c>
      <c r="H107" s="386">
        <v>2000</v>
      </c>
      <c r="I107" s="386">
        <v>0</v>
      </c>
      <c r="J107" s="386">
        <v>0</v>
      </c>
      <c r="K107" s="386">
        <v>0</v>
      </c>
      <c r="L107" s="578">
        <f t="shared" si="48"/>
        <v>0</v>
      </c>
      <c r="M107" s="403">
        <v>0</v>
      </c>
      <c r="N107" s="427">
        <v>0</v>
      </c>
    </row>
    <row r="108" spans="1:14" s="605" customFormat="1" ht="18" x14ac:dyDescent="0.2">
      <c r="A108" s="378" t="s">
        <v>412</v>
      </c>
      <c r="B108" s="486"/>
      <c r="C108" s="398">
        <v>329</v>
      </c>
      <c r="D108" s="389" t="s">
        <v>65</v>
      </c>
      <c r="E108" s="386">
        <v>0</v>
      </c>
      <c r="F108" s="386">
        <f t="shared" ref="F108:L108" si="49">SUM(F109)</f>
        <v>0</v>
      </c>
      <c r="G108" s="386">
        <f t="shared" si="49"/>
        <v>0</v>
      </c>
      <c r="H108" s="386">
        <f t="shared" si="49"/>
        <v>20000</v>
      </c>
      <c r="I108" s="386">
        <f t="shared" si="49"/>
        <v>0</v>
      </c>
      <c r="J108" s="386">
        <f t="shared" si="49"/>
        <v>0</v>
      </c>
      <c r="K108" s="386">
        <f t="shared" si="49"/>
        <v>0</v>
      </c>
      <c r="L108" s="578">
        <f t="shared" si="49"/>
        <v>0</v>
      </c>
      <c r="M108" s="403">
        <v>0</v>
      </c>
      <c r="N108" s="427">
        <v>0</v>
      </c>
    </row>
    <row r="109" spans="1:14" ht="14.25" x14ac:dyDescent="0.2">
      <c r="A109" s="378" t="s">
        <v>412</v>
      </c>
      <c r="B109" s="486"/>
      <c r="C109" s="398">
        <v>3291</v>
      </c>
      <c r="D109" s="389" t="s">
        <v>66</v>
      </c>
      <c r="E109" s="386">
        <v>0</v>
      </c>
      <c r="F109" s="386">
        <v>0</v>
      </c>
      <c r="G109" s="386">
        <f t="shared" ref="G109:L109" si="50">F109/7.5345</f>
        <v>0</v>
      </c>
      <c r="H109" s="386">
        <v>20000</v>
      </c>
      <c r="I109" s="386">
        <v>0</v>
      </c>
      <c r="J109" s="386">
        <v>0</v>
      </c>
      <c r="K109" s="386">
        <v>0</v>
      </c>
      <c r="L109" s="578">
        <f t="shared" si="50"/>
        <v>0</v>
      </c>
      <c r="M109" s="403">
        <v>0</v>
      </c>
      <c r="N109" s="427">
        <v>0</v>
      </c>
    </row>
    <row r="110" spans="1:14" ht="15" x14ac:dyDescent="0.25">
      <c r="A110" s="381" t="s">
        <v>412</v>
      </c>
      <c r="B110" s="487"/>
      <c r="C110" s="400">
        <v>38</v>
      </c>
      <c r="D110" s="387" t="s">
        <v>196</v>
      </c>
      <c r="E110" s="385">
        <v>0</v>
      </c>
      <c r="F110" s="385">
        <f t="shared" ref="F110:L111" si="51">SUM(F111)</f>
        <v>0</v>
      </c>
      <c r="G110" s="385">
        <f t="shared" si="51"/>
        <v>0</v>
      </c>
      <c r="H110" s="385">
        <f t="shared" si="51"/>
        <v>10000</v>
      </c>
      <c r="I110" s="385">
        <f t="shared" si="51"/>
        <v>0</v>
      </c>
      <c r="J110" s="385">
        <f t="shared" si="51"/>
        <v>0</v>
      </c>
      <c r="K110" s="385">
        <f t="shared" si="51"/>
        <v>0</v>
      </c>
      <c r="L110" s="579">
        <f t="shared" si="51"/>
        <v>0</v>
      </c>
      <c r="M110" s="403">
        <v>0</v>
      </c>
      <c r="N110" s="427">
        <v>0</v>
      </c>
    </row>
    <row r="111" spans="1:14" s="116" customFormat="1" ht="15.75" x14ac:dyDescent="0.25">
      <c r="A111" s="378" t="s">
        <v>412</v>
      </c>
      <c r="B111" s="486"/>
      <c r="C111" s="398">
        <v>381</v>
      </c>
      <c r="D111" s="389" t="s">
        <v>37</v>
      </c>
      <c r="E111" s="386">
        <v>0</v>
      </c>
      <c r="F111" s="386">
        <f t="shared" si="51"/>
        <v>0</v>
      </c>
      <c r="G111" s="386">
        <f t="shared" si="51"/>
        <v>0</v>
      </c>
      <c r="H111" s="386">
        <f t="shared" si="51"/>
        <v>10000</v>
      </c>
      <c r="I111" s="386">
        <f t="shared" si="51"/>
        <v>0</v>
      </c>
      <c r="J111" s="386">
        <f t="shared" si="51"/>
        <v>0</v>
      </c>
      <c r="K111" s="386">
        <f t="shared" si="51"/>
        <v>0</v>
      </c>
      <c r="L111" s="578">
        <f t="shared" si="51"/>
        <v>0</v>
      </c>
      <c r="M111" s="403">
        <v>0</v>
      </c>
      <c r="N111" s="427">
        <v>0</v>
      </c>
    </row>
    <row r="112" spans="1:14" s="29" customFormat="1" ht="15" thickBot="1" x14ac:dyDescent="0.25">
      <c r="A112" s="378" t="s">
        <v>412</v>
      </c>
      <c r="B112" s="493"/>
      <c r="C112" s="422">
        <v>3811</v>
      </c>
      <c r="D112" s="397" t="s">
        <v>394</v>
      </c>
      <c r="E112" s="384">
        <v>0</v>
      </c>
      <c r="F112" s="384">
        <v>0</v>
      </c>
      <c r="G112" s="386">
        <f t="shared" ref="G112:L112" si="52">F112/7.5345</f>
        <v>0</v>
      </c>
      <c r="H112" s="386">
        <v>10000</v>
      </c>
      <c r="I112" s="386">
        <v>0</v>
      </c>
      <c r="J112" s="386">
        <v>0</v>
      </c>
      <c r="K112" s="386">
        <v>0</v>
      </c>
      <c r="L112" s="578">
        <f t="shared" si="52"/>
        <v>0</v>
      </c>
      <c r="M112" s="406">
        <v>0</v>
      </c>
      <c r="N112" s="432">
        <v>0</v>
      </c>
    </row>
    <row r="113" spans="1:14" ht="18.75" thickBot="1" x14ac:dyDescent="0.25">
      <c r="A113" s="956" t="s">
        <v>541</v>
      </c>
      <c r="B113" s="957"/>
      <c r="C113" s="957"/>
      <c r="D113" s="958"/>
      <c r="E113" s="591">
        <v>97000</v>
      </c>
      <c r="F113" s="591" t="e">
        <f t="shared" ref="F113:L113" si="53">SUM(F116+F122)</f>
        <v>#REF!</v>
      </c>
      <c r="G113" s="591" t="e">
        <f t="shared" si="53"/>
        <v>#REF!</v>
      </c>
      <c r="H113" s="591">
        <f t="shared" si="53"/>
        <v>30000</v>
      </c>
      <c r="I113" s="591">
        <f t="shared" si="53"/>
        <v>30000</v>
      </c>
      <c r="J113" s="591">
        <f t="shared" si="53"/>
        <v>30000</v>
      </c>
      <c r="K113" s="591">
        <f t="shared" si="53"/>
        <v>30000</v>
      </c>
      <c r="L113" s="596" t="e">
        <f t="shared" si="53"/>
        <v>#REF!</v>
      </c>
      <c r="M113" s="598">
        <f>AVERAGE(J113/I113*100)</f>
        <v>100</v>
      </c>
      <c r="N113" s="599">
        <f>AVERAGE(K113/J113*100)</f>
        <v>100</v>
      </c>
    </row>
    <row r="114" spans="1:14" s="414" customFormat="1" ht="15" thickBot="1" x14ac:dyDescent="0.25">
      <c r="A114" s="425"/>
      <c r="B114" s="42"/>
      <c r="C114" s="42"/>
      <c r="D114" s="420" t="s">
        <v>176</v>
      </c>
      <c r="E114" s="396"/>
      <c r="F114" s="395"/>
      <c r="G114" s="395"/>
      <c r="H114" s="395"/>
      <c r="I114" s="395"/>
      <c r="J114" s="395"/>
      <c r="K114" s="395"/>
      <c r="L114" s="575"/>
      <c r="M114" s="964">
        <f>AVERAGE(J116/I116*100)</f>
        <v>100</v>
      </c>
      <c r="N114" s="962">
        <f>AVERAGE(K116/J116*100)</f>
        <v>100</v>
      </c>
    </row>
    <row r="115" spans="1:14" ht="15" thickTop="1" x14ac:dyDescent="0.2">
      <c r="A115" s="425"/>
      <c r="B115" s="42"/>
      <c r="C115" s="42"/>
      <c r="D115" s="419" t="s">
        <v>501</v>
      </c>
      <c r="E115" s="386"/>
      <c r="F115" s="395"/>
      <c r="G115" s="395"/>
      <c r="H115" s="395"/>
      <c r="I115" s="395"/>
      <c r="J115" s="395"/>
      <c r="K115" s="395"/>
      <c r="L115" s="575"/>
      <c r="M115" s="965"/>
      <c r="N115" s="963"/>
    </row>
    <row r="116" spans="1:14" ht="31.5" x14ac:dyDescent="0.25">
      <c r="A116" s="457"/>
      <c r="B116" s="116"/>
      <c r="C116" s="116"/>
      <c r="D116" s="461" t="s">
        <v>549</v>
      </c>
      <c r="E116" s="458">
        <v>87000</v>
      </c>
      <c r="F116" s="456">
        <f t="shared" ref="F116:L118" si="54">SUM(F117)</f>
        <v>100000</v>
      </c>
      <c r="G116" s="456">
        <f t="shared" si="54"/>
        <v>13272.280841462605</v>
      </c>
      <c r="H116" s="456">
        <f t="shared" si="54"/>
        <v>15000</v>
      </c>
      <c r="I116" s="456">
        <f t="shared" si="54"/>
        <v>15000</v>
      </c>
      <c r="J116" s="456">
        <f t="shared" si="54"/>
        <v>15000</v>
      </c>
      <c r="K116" s="456">
        <f t="shared" si="54"/>
        <v>15000</v>
      </c>
      <c r="L116" s="576">
        <f t="shared" si="54"/>
        <v>113017.5</v>
      </c>
      <c r="M116" s="965"/>
      <c r="N116" s="963"/>
    </row>
    <row r="117" spans="1:14" s="116" customFormat="1" ht="15.75" x14ac:dyDescent="0.25">
      <c r="A117" s="381" t="s">
        <v>413</v>
      </c>
      <c r="B117" s="487"/>
      <c r="C117" s="377">
        <v>35</v>
      </c>
      <c r="D117" s="388" t="s">
        <v>75</v>
      </c>
      <c r="E117" s="385">
        <v>87000</v>
      </c>
      <c r="F117" s="385">
        <f t="shared" si="54"/>
        <v>100000</v>
      </c>
      <c r="G117" s="385">
        <f t="shared" si="54"/>
        <v>13272.280841462605</v>
      </c>
      <c r="H117" s="385">
        <f t="shared" si="54"/>
        <v>15000</v>
      </c>
      <c r="I117" s="385">
        <f t="shared" si="54"/>
        <v>15000</v>
      </c>
      <c r="J117" s="385">
        <f t="shared" si="54"/>
        <v>15000</v>
      </c>
      <c r="K117" s="385">
        <f t="shared" si="54"/>
        <v>15000</v>
      </c>
      <c r="L117" s="579">
        <f t="shared" si="54"/>
        <v>113017.5</v>
      </c>
      <c r="M117" s="408">
        <f t="shared" ref="M117:N119" si="55">AVERAGE(J117/I117*100)</f>
        <v>100</v>
      </c>
      <c r="N117" s="426">
        <f t="shared" si="55"/>
        <v>100</v>
      </c>
    </row>
    <row r="118" spans="1:14" s="29" customFormat="1" ht="14.25" x14ac:dyDescent="0.2">
      <c r="A118" s="378" t="s">
        <v>413</v>
      </c>
      <c r="B118" s="486"/>
      <c r="C118" s="390">
        <v>352</v>
      </c>
      <c r="D118" s="391" t="s">
        <v>395</v>
      </c>
      <c r="E118" s="386">
        <v>87000</v>
      </c>
      <c r="F118" s="386">
        <f t="shared" si="54"/>
        <v>100000</v>
      </c>
      <c r="G118" s="386">
        <f t="shared" si="54"/>
        <v>13272.280841462605</v>
      </c>
      <c r="H118" s="386">
        <f t="shared" si="54"/>
        <v>15000</v>
      </c>
      <c r="I118" s="386">
        <f t="shared" si="54"/>
        <v>15000</v>
      </c>
      <c r="J118" s="386">
        <f t="shared" si="54"/>
        <v>15000</v>
      </c>
      <c r="K118" s="386">
        <f t="shared" si="54"/>
        <v>15000</v>
      </c>
      <c r="L118" s="578">
        <f t="shared" si="54"/>
        <v>113017.5</v>
      </c>
      <c r="M118" s="408">
        <f t="shared" si="55"/>
        <v>100</v>
      </c>
      <c r="N118" s="426">
        <f t="shared" si="55"/>
        <v>100</v>
      </c>
    </row>
    <row r="119" spans="1:14" ht="15" thickBot="1" x14ac:dyDescent="0.25">
      <c r="A119" s="431" t="s">
        <v>413</v>
      </c>
      <c r="B119" s="488"/>
      <c r="C119" s="410">
        <v>3522</v>
      </c>
      <c r="D119" s="411" t="s">
        <v>396</v>
      </c>
      <c r="E119" s="412">
        <v>87000</v>
      </c>
      <c r="F119" s="412">
        <v>100000</v>
      </c>
      <c r="G119" s="412">
        <f>F119/7.5345</f>
        <v>13272.280841462605</v>
      </c>
      <c r="H119" s="412">
        <v>15000</v>
      </c>
      <c r="I119" s="412">
        <v>15000</v>
      </c>
      <c r="J119" s="412">
        <v>15000</v>
      </c>
      <c r="K119" s="412">
        <v>15000</v>
      </c>
      <c r="L119" s="580">
        <f>K119*7.5345</f>
        <v>113017.5</v>
      </c>
      <c r="M119" s="477">
        <f t="shared" si="55"/>
        <v>100</v>
      </c>
      <c r="N119" s="478">
        <f t="shared" si="55"/>
        <v>100</v>
      </c>
    </row>
    <row r="120" spans="1:14" ht="14.25" customHeight="1" thickTop="1" x14ac:dyDescent="0.2">
      <c r="A120" s="425"/>
      <c r="B120" s="491"/>
      <c r="C120" s="42"/>
      <c r="D120" s="420" t="s">
        <v>176</v>
      </c>
      <c r="E120" s="396"/>
      <c r="F120" s="395"/>
      <c r="G120" s="395"/>
      <c r="H120" s="395"/>
      <c r="I120" s="395"/>
      <c r="J120" s="395"/>
      <c r="K120" s="395"/>
      <c r="L120" s="575"/>
      <c r="M120" s="964">
        <f>AVERAGE(J122/I122*100)</f>
        <v>100</v>
      </c>
      <c r="N120" s="962">
        <f>AVERAGE(K122/J122*100)</f>
        <v>100</v>
      </c>
    </row>
    <row r="121" spans="1:14" s="229" customFormat="1" ht="14.25" x14ac:dyDescent="0.2">
      <c r="A121" s="425"/>
      <c r="B121" s="491"/>
      <c r="C121" s="42"/>
      <c r="D121" s="419" t="s">
        <v>254</v>
      </c>
      <c r="E121" s="386"/>
      <c r="F121" s="395"/>
      <c r="G121" s="395"/>
      <c r="H121" s="395"/>
      <c r="I121" s="395"/>
      <c r="J121" s="395"/>
      <c r="K121" s="395"/>
      <c r="L121" s="575"/>
      <c r="M121" s="965"/>
      <c r="N121" s="963"/>
    </row>
    <row r="122" spans="1:14" ht="31.5" x14ac:dyDescent="0.25">
      <c r="A122" s="457"/>
      <c r="B122" s="492"/>
      <c r="C122" s="116"/>
      <c r="D122" s="461" t="s">
        <v>548</v>
      </c>
      <c r="E122" s="458">
        <v>87000</v>
      </c>
      <c r="F122" s="456" t="e">
        <f t="shared" ref="F122:L124" si="56">SUM(F123)</f>
        <v>#REF!</v>
      </c>
      <c r="G122" s="456" t="e">
        <f t="shared" si="56"/>
        <v>#REF!</v>
      </c>
      <c r="H122" s="456">
        <f t="shared" si="56"/>
        <v>15000</v>
      </c>
      <c r="I122" s="456">
        <f t="shared" si="56"/>
        <v>15000</v>
      </c>
      <c r="J122" s="456">
        <f t="shared" si="56"/>
        <v>15000</v>
      </c>
      <c r="K122" s="456">
        <f t="shared" si="56"/>
        <v>15000</v>
      </c>
      <c r="L122" s="456" t="e">
        <f t="shared" si="56"/>
        <v>#REF!</v>
      </c>
      <c r="M122" s="965"/>
      <c r="N122" s="963"/>
    </row>
    <row r="123" spans="1:14" s="116" customFormat="1" ht="15.75" x14ac:dyDescent="0.25">
      <c r="A123" s="381" t="s">
        <v>561</v>
      </c>
      <c r="B123" s="487"/>
      <c r="C123" s="377">
        <v>35</v>
      </c>
      <c r="D123" s="388" t="s">
        <v>75</v>
      </c>
      <c r="E123" s="385">
        <v>87000</v>
      </c>
      <c r="F123" s="385" t="e">
        <f t="shared" si="56"/>
        <v>#REF!</v>
      </c>
      <c r="G123" s="385" t="e">
        <f t="shared" si="56"/>
        <v>#REF!</v>
      </c>
      <c r="H123" s="385">
        <f t="shared" si="56"/>
        <v>15000</v>
      </c>
      <c r="I123" s="385">
        <f t="shared" si="56"/>
        <v>15000</v>
      </c>
      <c r="J123" s="385">
        <f t="shared" si="56"/>
        <v>15000</v>
      </c>
      <c r="K123" s="385">
        <f t="shared" si="56"/>
        <v>15000</v>
      </c>
      <c r="L123" s="579" t="e">
        <f t="shared" si="56"/>
        <v>#REF!</v>
      </c>
      <c r="M123" s="408">
        <f t="shared" ref="M123:N126" si="57">AVERAGE(J123/I123*100)</f>
        <v>100</v>
      </c>
      <c r="N123" s="426">
        <f t="shared" si="57"/>
        <v>100</v>
      </c>
    </row>
    <row r="124" spans="1:14" s="29" customFormat="1" ht="14.25" x14ac:dyDescent="0.2">
      <c r="A124" s="378" t="s">
        <v>561</v>
      </c>
      <c r="B124" s="486"/>
      <c r="C124" s="390">
        <v>352</v>
      </c>
      <c r="D124" s="391" t="s">
        <v>395</v>
      </c>
      <c r="E124" s="386">
        <v>87000</v>
      </c>
      <c r="F124" s="386" t="e">
        <f>SUM(F125+#REF!)</f>
        <v>#REF!</v>
      </c>
      <c r="G124" s="386" t="e">
        <f>SUM(G125+#REF!)</f>
        <v>#REF!</v>
      </c>
      <c r="H124" s="386">
        <f>SUM(H125)</f>
        <v>15000</v>
      </c>
      <c r="I124" s="386">
        <f>SUM(I125)</f>
        <v>15000</v>
      </c>
      <c r="J124" s="386">
        <f t="shared" si="56"/>
        <v>15000</v>
      </c>
      <c r="K124" s="386">
        <f t="shared" si="56"/>
        <v>15000</v>
      </c>
      <c r="L124" s="578" t="e">
        <f>SUM(L125+#REF!)</f>
        <v>#REF!</v>
      </c>
      <c r="M124" s="408">
        <f t="shared" si="57"/>
        <v>100</v>
      </c>
      <c r="N124" s="426">
        <f t="shared" si="57"/>
        <v>100</v>
      </c>
    </row>
    <row r="125" spans="1:14" ht="15" thickBot="1" x14ac:dyDescent="0.25">
      <c r="A125" s="378" t="s">
        <v>561</v>
      </c>
      <c r="B125" s="493"/>
      <c r="C125" s="423">
        <v>3523</v>
      </c>
      <c r="D125" s="393" t="s">
        <v>435</v>
      </c>
      <c r="E125" s="384">
        <v>87000</v>
      </c>
      <c r="F125" s="384">
        <v>50000</v>
      </c>
      <c r="G125" s="386">
        <f>F125/7.5345</f>
        <v>6636.1404207313026</v>
      </c>
      <c r="H125" s="386">
        <v>15000</v>
      </c>
      <c r="I125" s="386">
        <v>15000</v>
      </c>
      <c r="J125" s="386">
        <v>15000</v>
      </c>
      <c r="K125" s="386">
        <v>15000</v>
      </c>
      <c r="L125" s="578">
        <f>K125*7.5345</f>
        <v>113017.5</v>
      </c>
      <c r="M125" s="408">
        <f t="shared" si="57"/>
        <v>100</v>
      </c>
      <c r="N125" s="426">
        <f t="shared" si="57"/>
        <v>100</v>
      </c>
    </row>
    <row r="126" spans="1:14" ht="18.75" thickBot="1" x14ac:dyDescent="0.25">
      <c r="A126" s="972" t="s">
        <v>542</v>
      </c>
      <c r="B126" s="973"/>
      <c r="C126" s="973"/>
      <c r="D126" s="974"/>
      <c r="E126" s="591"/>
      <c r="F126" s="591">
        <f t="shared" ref="F126:L126" si="58">F129</f>
        <v>60000</v>
      </c>
      <c r="G126" s="591">
        <f t="shared" si="58"/>
        <v>7963.3685048775624</v>
      </c>
      <c r="H126" s="591">
        <f t="shared" si="58"/>
        <v>8000</v>
      </c>
      <c r="I126" s="591">
        <f t="shared" si="58"/>
        <v>8000</v>
      </c>
      <c r="J126" s="591">
        <f t="shared" si="58"/>
        <v>8000</v>
      </c>
      <c r="K126" s="591">
        <f t="shared" si="58"/>
        <v>8000</v>
      </c>
      <c r="L126" s="596">
        <f t="shared" si="58"/>
        <v>60276</v>
      </c>
      <c r="M126" s="598">
        <f t="shared" si="57"/>
        <v>100</v>
      </c>
      <c r="N126" s="599">
        <f t="shared" si="57"/>
        <v>100</v>
      </c>
    </row>
    <row r="127" spans="1:14" s="480" customFormat="1" ht="15" x14ac:dyDescent="0.25">
      <c r="A127" s="425"/>
      <c r="B127" s="42"/>
      <c r="C127" s="42"/>
      <c r="D127" s="419" t="s">
        <v>201</v>
      </c>
      <c r="E127" s="396">
        <v>25000</v>
      </c>
      <c r="F127" s="395"/>
      <c r="G127" s="395"/>
      <c r="H127" s="395"/>
      <c r="I127" s="395"/>
      <c r="J127" s="395"/>
      <c r="K127" s="395"/>
      <c r="L127" s="575"/>
      <c r="M127" s="407"/>
      <c r="N127" s="434"/>
    </row>
    <row r="128" spans="1:14" s="229" customFormat="1" ht="14.25" x14ac:dyDescent="0.2">
      <c r="A128" s="425"/>
      <c r="B128" s="42"/>
      <c r="C128" s="42"/>
      <c r="D128" s="419" t="s">
        <v>498</v>
      </c>
      <c r="E128" s="386"/>
      <c r="F128" s="395"/>
      <c r="G128" s="395"/>
      <c r="H128" s="395"/>
      <c r="I128" s="395"/>
      <c r="J128" s="395"/>
      <c r="K128" s="395"/>
      <c r="L128" s="575"/>
      <c r="M128" s="407"/>
      <c r="N128" s="434"/>
    </row>
    <row r="129" spans="1:14" ht="15.75" x14ac:dyDescent="0.25">
      <c r="A129" s="457"/>
      <c r="B129" s="116"/>
      <c r="C129" s="116"/>
      <c r="D129" s="463" t="s">
        <v>547</v>
      </c>
      <c r="E129" s="458">
        <v>25000</v>
      </c>
      <c r="F129" s="456">
        <f t="shared" ref="F129:L131" si="59">SUM(F130)</f>
        <v>60000</v>
      </c>
      <c r="G129" s="456">
        <f t="shared" si="59"/>
        <v>7963.3685048775624</v>
      </c>
      <c r="H129" s="456">
        <f t="shared" si="59"/>
        <v>8000</v>
      </c>
      <c r="I129" s="456">
        <f t="shared" si="59"/>
        <v>8000</v>
      </c>
      <c r="J129" s="456">
        <f t="shared" si="59"/>
        <v>8000</v>
      </c>
      <c r="K129" s="456">
        <f t="shared" si="59"/>
        <v>8000</v>
      </c>
      <c r="L129" s="576">
        <f t="shared" si="59"/>
        <v>60276</v>
      </c>
      <c r="M129" s="408">
        <f t="shared" ref="M129:N133" si="60">AVERAGE(J129/I129*100)</f>
        <v>100</v>
      </c>
      <c r="N129" s="426">
        <f t="shared" si="60"/>
        <v>100</v>
      </c>
    </row>
    <row r="130" spans="1:14" s="116" customFormat="1" ht="15.75" x14ac:dyDescent="0.25">
      <c r="A130" s="381" t="s">
        <v>414</v>
      </c>
      <c r="B130" s="387"/>
      <c r="C130" s="400">
        <v>32</v>
      </c>
      <c r="D130" s="387" t="s">
        <v>178</v>
      </c>
      <c r="E130" s="385">
        <v>25000</v>
      </c>
      <c r="F130" s="385">
        <f t="shared" si="59"/>
        <v>60000</v>
      </c>
      <c r="G130" s="385">
        <f t="shared" si="59"/>
        <v>7963.3685048775624</v>
      </c>
      <c r="H130" s="385">
        <f t="shared" si="59"/>
        <v>8000</v>
      </c>
      <c r="I130" s="385">
        <f t="shared" si="59"/>
        <v>8000</v>
      </c>
      <c r="J130" s="385">
        <f t="shared" si="59"/>
        <v>8000</v>
      </c>
      <c r="K130" s="385">
        <f t="shared" si="59"/>
        <v>8000</v>
      </c>
      <c r="L130" s="579">
        <f t="shared" si="59"/>
        <v>60276</v>
      </c>
      <c r="M130" s="408">
        <f t="shared" si="60"/>
        <v>100</v>
      </c>
      <c r="N130" s="426">
        <f t="shared" si="60"/>
        <v>100</v>
      </c>
    </row>
    <row r="131" spans="1:14" s="29" customFormat="1" ht="14.25" x14ac:dyDescent="0.2">
      <c r="A131" s="378" t="s">
        <v>414</v>
      </c>
      <c r="B131" s="389"/>
      <c r="C131" s="398">
        <v>323</v>
      </c>
      <c r="D131" s="389" t="s">
        <v>56</v>
      </c>
      <c r="E131" s="386">
        <v>25000</v>
      </c>
      <c r="F131" s="386">
        <f t="shared" si="59"/>
        <v>60000</v>
      </c>
      <c r="G131" s="386">
        <f t="shared" si="59"/>
        <v>7963.3685048775624</v>
      </c>
      <c r="H131" s="386">
        <f t="shared" si="59"/>
        <v>8000</v>
      </c>
      <c r="I131" s="386">
        <f t="shared" si="59"/>
        <v>8000</v>
      </c>
      <c r="J131" s="386">
        <f t="shared" si="59"/>
        <v>8000</v>
      </c>
      <c r="K131" s="386">
        <f t="shared" si="59"/>
        <v>8000</v>
      </c>
      <c r="L131" s="578">
        <f t="shared" si="59"/>
        <v>60276</v>
      </c>
      <c r="M131" s="408">
        <f t="shared" si="60"/>
        <v>100</v>
      </c>
      <c r="N131" s="426">
        <f t="shared" si="60"/>
        <v>100</v>
      </c>
    </row>
    <row r="132" spans="1:14" ht="15" thickBot="1" x14ac:dyDescent="0.25">
      <c r="A132" s="378" t="s">
        <v>414</v>
      </c>
      <c r="B132" s="493"/>
      <c r="C132" s="422">
        <v>3237</v>
      </c>
      <c r="D132" s="397" t="s">
        <v>62</v>
      </c>
      <c r="E132" s="384">
        <v>25000</v>
      </c>
      <c r="F132" s="384">
        <v>60000</v>
      </c>
      <c r="G132" s="386">
        <f>F132/7.5345</f>
        <v>7963.3685048775624</v>
      </c>
      <c r="H132" s="386">
        <v>8000</v>
      </c>
      <c r="I132" s="386">
        <v>8000</v>
      </c>
      <c r="J132" s="386">
        <v>8000</v>
      </c>
      <c r="K132" s="386">
        <v>8000</v>
      </c>
      <c r="L132" s="578">
        <f>K132*7.5345</f>
        <v>60276</v>
      </c>
      <c r="M132" s="408">
        <f t="shared" si="60"/>
        <v>100</v>
      </c>
      <c r="N132" s="426">
        <f t="shared" si="60"/>
        <v>100</v>
      </c>
    </row>
    <row r="133" spans="1:14" ht="18.75" thickBot="1" x14ac:dyDescent="0.25">
      <c r="A133" s="972" t="s">
        <v>543</v>
      </c>
      <c r="B133" s="973"/>
      <c r="C133" s="973"/>
      <c r="D133" s="974"/>
      <c r="E133" s="591">
        <v>60000</v>
      </c>
      <c r="F133" s="591">
        <f t="shared" ref="F133:L133" si="61">SUM(F136)</f>
        <v>25000</v>
      </c>
      <c r="G133" s="591">
        <f t="shared" si="61"/>
        <v>3318.0702103656513</v>
      </c>
      <c r="H133" s="591">
        <f t="shared" si="61"/>
        <v>4500</v>
      </c>
      <c r="I133" s="591">
        <f t="shared" si="61"/>
        <v>4500</v>
      </c>
      <c r="J133" s="591">
        <f t="shared" si="61"/>
        <v>6000</v>
      </c>
      <c r="K133" s="591">
        <f t="shared" si="61"/>
        <v>6000</v>
      </c>
      <c r="L133" s="596">
        <f t="shared" si="61"/>
        <v>45207</v>
      </c>
      <c r="M133" s="598">
        <f t="shared" si="60"/>
        <v>133.33333333333331</v>
      </c>
      <c r="N133" s="599">
        <f t="shared" si="60"/>
        <v>100</v>
      </c>
    </row>
    <row r="134" spans="1:14" ht="14.25" x14ac:dyDescent="0.2">
      <c r="A134" s="425"/>
      <c r="B134" s="42"/>
      <c r="C134" s="42"/>
      <c r="D134" s="419" t="s">
        <v>201</v>
      </c>
      <c r="E134" s="396"/>
      <c r="F134" s="395"/>
      <c r="G134" s="395"/>
      <c r="H134" s="395"/>
      <c r="I134" s="395"/>
      <c r="J134" s="395"/>
      <c r="K134" s="395"/>
      <c r="L134" s="575"/>
      <c r="M134" s="964">
        <f>AVERAGE(J136/I136*100)</f>
        <v>133.33333333333331</v>
      </c>
      <c r="N134" s="962">
        <f>AVERAGE(K136/J136*100)</f>
        <v>100</v>
      </c>
    </row>
    <row r="135" spans="1:14" s="480" customFormat="1" ht="15" x14ac:dyDescent="0.25">
      <c r="A135" s="425"/>
      <c r="B135" s="42"/>
      <c r="C135" s="42"/>
      <c r="D135" s="419" t="s">
        <v>498</v>
      </c>
      <c r="E135" s="386"/>
      <c r="F135" s="395"/>
      <c r="G135" s="395"/>
      <c r="H135" s="395"/>
      <c r="I135" s="395"/>
      <c r="J135" s="395"/>
      <c r="K135" s="395"/>
      <c r="L135" s="575"/>
      <c r="M135" s="965"/>
      <c r="N135" s="963"/>
    </row>
    <row r="136" spans="1:14" s="131" customFormat="1" ht="15.75" x14ac:dyDescent="0.25">
      <c r="A136" s="457"/>
      <c r="B136" s="116"/>
      <c r="C136" s="116"/>
      <c r="D136" s="454" t="s">
        <v>546</v>
      </c>
      <c r="E136" s="458">
        <v>60000</v>
      </c>
      <c r="F136" s="456">
        <f t="shared" ref="F136:L137" si="62">SUM(F137)</f>
        <v>25000</v>
      </c>
      <c r="G136" s="456">
        <f t="shared" si="62"/>
        <v>3318.0702103656513</v>
      </c>
      <c r="H136" s="456">
        <f t="shared" si="62"/>
        <v>4500</v>
      </c>
      <c r="I136" s="456">
        <f t="shared" si="62"/>
        <v>4500</v>
      </c>
      <c r="J136" s="456">
        <f t="shared" si="62"/>
        <v>6000</v>
      </c>
      <c r="K136" s="456">
        <f t="shared" si="62"/>
        <v>6000</v>
      </c>
      <c r="L136" s="576">
        <f t="shared" si="62"/>
        <v>45207</v>
      </c>
      <c r="M136" s="965"/>
      <c r="N136" s="963"/>
    </row>
    <row r="137" spans="1:14" ht="15" x14ac:dyDescent="0.25">
      <c r="A137" s="381" t="s">
        <v>415</v>
      </c>
      <c r="B137" s="487"/>
      <c r="C137" s="400">
        <v>38</v>
      </c>
      <c r="D137" s="387" t="s">
        <v>196</v>
      </c>
      <c r="E137" s="385">
        <v>60000</v>
      </c>
      <c r="F137" s="385">
        <f t="shared" si="62"/>
        <v>25000</v>
      </c>
      <c r="G137" s="385">
        <f t="shared" si="62"/>
        <v>3318.0702103656513</v>
      </c>
      <c r="H137" s="385">
        <f t="shared" si="62"/>
        <v>4500</v>
      </c>
      <c r="I137" s="385">
        <f t="shared" si="62"/>
        <v>4500</v>
      </c>
      <c r="J137" s="385">
        <f t="shared" si="62"/>
        <v>6000</v>
      </c>
      <c r="K137" s="385">
        <f t="shared" si="62"/>
        <v>6000</v>
      </c>
      <c r="L137" s="579">
        <f t="shared" si="62"/>
        <v>45207</v>
      </c>
      <c r="M137" s="408">
        <f>AVERAGE(J137/I137*100)</f>
        <v>133.33333333333331</v>
      </c>
      <c r="N137" s="426">
        <f>AVERAGE(K137/J137*100)</f>
        <v>100</v>
      </c>
    </row>
    <row r="138" spans="1:14" s="116" customFormat="1" ht="15.75" x14ac:dyDescent="0.25">
      <c r="A138" s="378" t="s">
        <v>415</v>
      </c>
      <c r="B138" s="486"/>
      <c r="C138" s="398">
        <v>381</v>
      </c>
      <c r="D138" s="389" t="s">
        <v>37</v>
      </c>
      <c r="E138" s="386">
        <v>60000</v>
      </c>
      <c r="F138" s="386">
        <f t="shared" ref="F138:K138" si="63">SUM(F139:F140)</f>
        <v>25000</v>
      </c>
      <c r="G138" s="386">
        <f t="shared" si="63"/>
        <v>3318.0702103656513</v>
      </c>
      <c r="H138" s="386">
        <f>SUM(H139:H140)</f>
        <v>4500</v>
      </c>
      <c r="I138" s="386">
        <f t="shared" si="63"/>
        <v>4500</v>
      </c>
      <c r="J138" s="386">
        <f t="shared" si="63"/>
        <v>6000</v>
      </c>
      <c r="K138" s="386">
        <f t="shared" si="63"/>
        <v>6000</v>
      </c>
      <c r="L138" s="578">
        <f>SUM(L139:L140)</f>
        <v>45207</v>
      </c>
      <c r="M138" s="408">
        <f>AVERAGE(J138/I138*100)</f>
        <v>133.33333333333331</v>
      </c>
      <c r="N138" s="426">
        <f>AVERAGE(K138/J138*100)</f>
        <v>100</v>
      </c>
    </row>
    <row r="139" spans="1:14" s="29" customFormat="1" ht="14.25" x14ac:dyDescent="0.2">
      <c r="A139" s="378" t="s">
        <v>415</v>
      </c>
      <c r="B139" s="486"/>
      <c r="C139" s="398">
        <v>3811</v>
      </c>
      <c r="D139" s="389" t="s">
        <v>397</v>
      </c>
      <c r="E139" s="386">
        <v>10000</v>
      </c>
      <c r="F139" s="386">
        <v>0</v>
      </c>
      <c r="G139" s="386">
        <f>F139/7.5345</f>
        <v>0</v>
      </c>
      <c r="H139" s="386">
        <v>1000</v>
      </c>
      <c r="I139" s="386">
        <v>1000</v>
      </c>
      <c r="J139" s="386">
        <v>1000</v>
      </c>
      <c r="K139" s="386">
        <v>1000</v>
      </c>
      <c r="L139" s="578">
        <f>K139*7.5345</f>
        <v>7534.5</v>
      </c>
      <c r="M139" s="408">
        <v>0</v>
      </c>
      <c r="N139" s="426">
        <v>0</v>
      </c>
    </row>
    <row r="140" spans="1:14" ht="15" thickBot="1" x14ac:dyDescent="0.25">
      <c r="A140" s="378" t="s">
        <v>415</v>
      </c>
      <c r="B140" s="493"/>
      <c r="C140" s="422">
        <v>3812</v>
      </c>
      <c r="D140" s="397" t="s">
        <v>204</v>
      </c>
      <c r="E140" s="384">
        <v>50000</v>
      </c>
      <c r="F140" s="384">
        <v>25000</v>
      </c>
      <c r="G140" s="386">
        <f>F140/7.5345</f>
        <v>3318.0702103656513</v>
      </c>
      <c r="H140" s="720">
        <v>3500</v>
      </c>
      <c r="I140" s="720">
        <v>3500</v>
      </c>
      <c r="J140" s="720">
        <v>5000</v>
      </c>
      <c r="K140" s="720">
        <v>5000</v>
      </c>
      <c r="L140" s="578">
        <f>K140*7.5345</f>
        <v>37672.5</v>
      </c>
      <c r="M140" s="408">
        <f>AVERAGE(J140/I140*100)</f>
        <v>142.85714285714286</v>
      </c>
      <c r="N140" s="426">
        <f>AVERAGE(K140/J140*100)</f>
        <v>100</v>
      </c>
    </row>
    <row r="141" spans="1:14" ht="18.75" thickBot="1" x14ac:dyDescent="0.25">
      <c r="A141" s="956" t="s">
        <v>544</v>
      </c>
      <c r="B141" s="957"/>
      <c r="C141" s="957"/>
      <c r="D141" s="958"/>
      <c r="E141" s="591">
        <v>5000</v>
      </c>
      <c r="F141" s="591">
        <f t="shared" ref="F141:L141" si="64">SUM(F144)</f>
        <v>5000</v>
      </c>
      <c r="G141" s="591">
        <f t="shared" si="64"/>
        <v>663.61404207313024</v>
      </c>
      <c r="H141" s="591">
        <f t="shared" si="64"/>
        <v>1000</v>
      </c>
      <c r="I141" s="591">
        <f t="shared" si="64"/>
        <v>8000</v>
      </c>
      <c r="J141" s="591">
        <f t="shared" si="64"/>
        <v>8000</v>
      </c>
      <c r="K141" s="591">
        <f t="shared" si="64"/>
        <v>8000</v>
      </c>
      <c r="L141" s="596">
        <f t="shared" si="64"/>
        <v>60276</v>
      </c>
      <c r="M141" s="598">
        <f>AVERAGE(J141/I141*100)</f>
        <v>100</v>
      </c>
      <c r="N141" s="599">
        <f>AVERAGE(K141/J141*100)</f>
        <v>100</v>
      </c>
    </row>
    <row r="142" spans="1:14" s="480" customFormat="1" ht="15" x14ac:dyDescent="0.25">
      <c r="A142" s="425"/>
      <c r="B142" s="42"/>
      <c r="C142" s="42"/>
      <c r="D142" s="419" t="s">
        <v>201</v>
      </c>
      <c r="E142" s="396"/>
      <c r="F142" s="395"/>
      <c r="G142" s="395"/>
      <c r="H142" s="395"/>
      <c r="I142" s="395"/>
      <c r="J142" s="395"/>
      <c r="K142" s="395"/>
      <c r="L142" s="575"/>
      <c r="M142" s="964">
        <f>AVERAGE(J144/I144*100)</f>
        <v>100</v>
      </c>
      <c r="N142" s="962">
        <f>AVERAGE(K144/J144*100)</f>
        <v>100</v>
      </c>
    </row>
    <row r="143" spans="1:14" s="229" customFormat="1" ht="14.25" x14ac:dyDescent="0.2">
      <c r="A143" s="425"/>
      <c r="B143" s="42"/>
      <c r="C143" s="42"/>
      <c r="D143" s="419" t="s">
        <v>498</v>
      </c>
      <c r="E143" s="386"/>
      <c r="F143" s="395"/>
      <c r="G143" s="395"/>
      <c r="H143" s="395"/>
      <c r="I143" s="395"/>
      <c r="J143" s="395"/>
      <c r="K143" s="395"/>
      <c r="L143" s="575"/>
      <c r="M143" s="965"/>
      <c r="N143" s="963"/>
    </row>
    <row r="144" spans="1:14" ht="15.75" x14ac:dyDescent="0.25">
      <c r="A144" s="457"/>
      <c r="B144" s="116"/>
      <c r="C144" s="116"/>
      <c r="D144" s="454" t="s">
        <v>545</v>
      </c>
      <c r="E144" s="458">
        <v>5000</v>
      </c>
      <c r="F144" s="456">
        <f t="shared" ref="F144:L146" si="65">SUM(F145)</f>
        <v>5000</v>
      </c>
      <c r="G144" s="456">
        <f t="shared" si="65"/>
        <v>663.61404207313024</v>
      </c>
      <c r="H144" s="456">
        <f t="shared" si="65"/>
        <v>1000</v>
      </c>
      <c r="I144" s="456">
        <f t="shared" si="65"/>
        <v>8000</v>
      </c>
      <c r="J144" s="456">
        <f t="shared" si="65"/>
        <v>8000</v>
      </c>
      <c r="K144" s="456">
        <f t="shared" si="65"/>
        <v>8000</v>
      </c>
      <c r="L144" s="576">
        <f t="shared" si="65"/>
        <v>60276</v>
      </c>
      <c r="M144" s="965"/>
      <c r="N144" s="963"/>
    </row>
    <row r="145" spans="1:14" s="116" customFormat="1" ht="15.75" x14ac:dyDescent="0.25">
      <c r="A145" s="381" t="s">
        <v>416</v>
      </c>
      <c r="B145" s="387"/>
      <c r="C145" s="400">
        <v>38</v>
      </c>
      <c r="D145" s="387" t="s">
        <v>196</v>
      </c>
      <c r="E145" s="385">
        <v>5000</v>
      </c>
      <c r="F145" s="385">
        <f t="shared" si="65"/>
        <v>5000</v>
      </c>
      <c r="G145" s="385">
        <f t="shared" si="65"/>
        <v>663.61404207313024</v>
      </c>
      <c r="H145" s="385">
        <f t="shared" si="65"/>
        <v>1000</v>
      </c>
      <c r="I145" s="385">
        <f t="shared" si="65"/>
        <v>8000</v>
      </c>
      <c r="J145" s="385">
        <f t="shared" si="65"/>
        <v>8000</v>
      </c>
      <c r="K145" s="385">
        <f t="shared" si="65"/>
        <v>8000</v>
      </c>
      <c r="L145" s="579">
        <f t="shared" si="65"/>
        <v>60276</v>
      </c>
      <c r="M145" s="408">
        <f t="shared" ref="M145:N148" si="66">AVERAGE(J145/I145*100)</f>
        <v>100</v>
      </c>
      <c r="N145" s="426">
        <f t="shared" si="66"/>
        <v>100</v>
      </c>
    </row>
    <row r="146" spans="1:14" s="116" customFormat="1" ht="15.75" x14ac:dyDescent="0.25">
      <c r="A146" s="378" t="s">
        <v>416</v>
      </c>
      <c r="B146" s="389"/>
      <c r="C146" s="398">
        <v>381</v>
      </c>
      <c r="D146" s="389" t="s">
        <v>37</v>
      </c>
      <c r="E146" s="386">
        <v>5000</v>
      </c>
      <c r="F146" s="386">
        <f t="shared" si="65"/>
        <v>5000</v>
      </c>
      <c r="G146" s="386">
        <f t="shared" si="65"/>
        <v>663.61404207313024</v>
      </c>
      <c r="H146" s="386">
        <f t="shared" si="65"/>
        <v>1000</v>
      </c>
      <c r="I146" s="386">
        <f t="shared" si="65"/>
        <v>8000</v>
      </c>
      <c r="J146" s="386">
        <f t="shared" si="65"/>
        <v>8000</v>
      </c>
      <c r="K146" s="386">
        <f t="shared" si="65"/>
        <v>8000</v>
      </c>
      <c r="L146" s="578">
        <f t="shared" si="65"/>
        <v>60276</v>
      </c>
      <c r="M146" s="408">
        <f t="shared" si="66"/>
        <v>100</v>
      </c>
      <c r="N146" s="426">
        <f t="shared" si="66"/>
        <v>100</v>
      </c>
    </row>
    <row r="147" spans="1:14" s="29" customFormat="1" ht="15" thickBot="1" x14ac:dyDescent="0.25">
      <c r="A147" s="378" t="s">
        <v>416</v>
      </c>
      <c r="B147" s="493"/>
      <c r="C147" s="422">
        <v>3811</v>
      </c>
      <c r="D147" s="397" t="s">
        <v>398</v>
      </c>
      <c r="E147" s="384">
        <v>5000</v>
      </c>
      <c r="F147" s="384">
        <v>5000</v>
      </c>
      <c r="G147" s="386">
        <f>F147/7.5345</f>
        <v>663.61404207313024</v>
      </c>
      <c r="H147" s="386">
        <v>1000</v>
      </c>
      <c r="I147" s="386">
        <v>8000</v>
      </c>
      <c r="J147" s="386">
        <v>8000</v>
      </c>
      <c r="K147" s="386">
        <v>8000</v>
      </c>
      <c r="L147" s="578">
        <f>K147*7.5345</f>
        <v>60276</v>
      </c>
      <c r="M147" s="408">
        <f t="shared" si="66"/>
        <v>100</v>
      </c>
      <c r="N147" s="426">
        <f t="shared" si="66"/>
        <v>100</v>
      </c>
    </row>
    <row r="148" spans="1:14" ht="18.75" thickBot="1" x14ac:dyDescent="0.25">
      <c r="A148" s="956" t="s">
        <v>579</v>
      </c>
      <c r="B148" s="957"/>
      <c r="C148" s="957"/>
      <c r="D148" s="958"/>
      <c r="E148" s="591">
        <v>5000</v>
      </c>
      <c r="F148" s="591">
        <f t="shared" ref="F148:L148" si="67">SUM(F151)</f>
        <v>60000</v>
      </c>
      <c r="G148" s="591">
        <f t="shared" si="67"/>
        <v>7963.3685048775624</v>
      </c>
      <c r="H148" s="591">
        <f t="shared" si="67"/>
        <v>8000</v>
      </c>
      <c r="I148" s="591">
        <f t="shared" si="67"/>
        <v>50900</v>
      </c>
      <c r="J148" s="591">
        <f t="shared" si="67"/>
        <v>0</v>
      </c>
      <c r="K148" s="591">
        <f t="shared" si="67"/>
        <v>0</v>
      </c>
      <c r="L148" s="596">
        <f t="shared" si="67"/>
        <v>0</v>
      </c>
      <c r="M148" s="598">
        <f t="shared" si="66"/>
        <v>0</v>
      </c>
      <c r="N148" s="599" t="e">
        <f t="shared" si="66"/>
        <v>#DIV/0!</v>
      </c>
    </row>
    <row r="149" spans="1:14" ht="14.25" x14ac:dyDescent="0.2">
      <c r="A149" s="425"/>
      <c r="B149" s="42"/>
      <c r="C149" s="42"/>
      <c r="D149" s="419" t="s">
        <v>201</v>
      </c>
      <c r="E149" s="396"/>
      <c r="F149" s="395"/>
      <c r="G149" s="395"/>
      <c r="H149" s="395"/>
      <c r="I149" s="395"/>
      <c r="J149" s="395"/>
      <c r="K149" s="395"/>
      <c r="L149" s="575"/>
      <c r="M149" s="964">
        <f>AVERAGE(J151/I151*100)</f>
        <v>0</v>
      </c>
      <c r="N149" s="962" t="e">
        <f>AVERAGE(K151/J151*100)</f>
        <v>#DIV/0!</v>
      </c>
    </row>
    <row r="150" spans="1:14" ht="14.25" x14ac:dyDescent="0.2">
      <c r="A150" s="425"/>
      <c r="B150" s="42"/>
      <c r="C150" s="42"/>
      <c r="D150" s="419" t="s">
        <v>498</v>
      </c>
      <c r="E150" s="386"/>
      <c r="F150" s="395"/>
      <c r="G150" s="395"/>
      <c r="H150" s="395"/>
      <c r="I150" s="395"/>
      <c r="J150" s="395"/>
      <c r="K150" s="395"/>
      <c r="L150" s="575"/>
      <c r="M150" s="965"/>
      <c r="N150" s="963"/>
    </row>
    <row r="151" spans="1:14" s="229" customFormat="1" ht="47.25" x14ac:dyDescent="0.25">
      <c r="A151" s="457"/>
      <c r="B151" s="116"/>
      <c r="C151" s="116"/>
      <c r="D151" s="463" t="s">
        <v>623</v>
      </c>
      <c r="E151" s="458">
        <v>5000</v>
      </c>
      <c r="F151" s="456">
        <f t="shared" ref="F151:L153" si="68">SUM(F152)</f>
        <v>60000</v>
      </c>
      <c r="G151" s="456">
        <f t="shared" si="68"/>
        <v>7963.3685048775624</v>
      </c>
      <c r="H151" s="456">
        <f t="shared" si="68"/>
        <v>8000</v>
      </c>
      <c r="I151" s="456">
        <f t="shared" si="68"/>
        <v>50900</v>
      </c>
      <c r="J151" s="456">
        <f t="shared" si="68"/>
        <v>0</v>
      </c>
      <c r="K151" s="456">
        <f t="shared" si="68"/>
        <v>0</v>
      </c>
      <c r="L151" s="576">
        <f t="shared" si="68"/>
        <v>0</v>
      </c>
      <c r="M151" s="965"/>
      <c r="N151" s="963"/>
    </row>
    <row r="152" spans="1:14" s="229" customFormat="1" ht="15" x14ac:dyDescent="0.25">
      <c r="A152" s="381" t="s">
        <v>417</v>
      </c>
      <c r="B152" s="387"/>
      <c r="C152" s="400">
        <v>32</v>
      </c>
      <c r="D152" s="387" t="s">
        <v>178</v>
      </c>
      <c r="E152" s="385">
        <v>25000</v>
      </c>
      <c r="F152" s="385">
        <f t="shared" si="68"/>
        <v>60000</v>
      </c>
      <c r="G152" s="385">
        <f t="shared" si="68"/>
        <v>7963.3685048775624</v>
      </c>
      <c r="H152" s="385">
        <f t="shared" si="68"/>
        <v>8000</v>
      </c>
      <c r="I152" s="385">
        <f t="shared" si="68"/>
        <v>50900</v>
      </c>
      <c r="J152" s="385">
        <f t="shared" si="68"/>
        <v>0</v>
      </c>
      <c r="K152" s="385">
        <f t="shared" si="68"/>
        <v>0</v>
      </c>
      <c r="L152" s="579">
        <f t="shared" si="68"/>
        <v>0</v>
      </c>
      <c r="M152" s="408">
        <f t="shared" ref="M152:N158" si="69">AVERAGE(J152/I152*100)</f>
        <v>0</v>
      </c>
      <c r="N152" s="426" t="e">
        <f t="shared" si="69"/>
        <v>#DIV/0!</v>
      </c>
    </row>
    <row r="153" spans="1:14" s="229" customFormat="1" ht="14.25" x14ac:dyDescent="0.2">
      <c r="A153" s="378" t="s">
        <v>417</v>
      </c>
      <c r="B153" s="389"/>
      <c r="C153" s="398">
        <v>323</v>
      </c>
      <c r="D153" s="389" t="s">
        <v>56</v>
      </c>
      <c r="E153" s="386">
        <v>25000</v>
      </c>
      <c r="F153" s="386">
        <f t="shared" si="68"/>
        <v>60000</v>
      </c>
      <c r="G153" s="386">
        <f t="shared" si="68"/>
        <v>7963.3685048775624</v>
      </c>
      <c r="H153" s="386">
        <f t="shared" si="68"/>
        <v>8000</v>
      </c>
      <c r="I153" s="386">
        <f>SUM(I154+I156+I155+I157)</f>
        <v>50900</v>
      </c>
      <c r="J153" s="386">
        <f t="shared" ref="J153:K153" si="70">SUM(J154+J156+J155+J157)</f>
        <v>0</v>
      </c>
      <c r="K153" s="386">
        <f t="shared" si="70"/>
        <v>0</v>
      </c>
      <c r="L153" s="578">
        <f t="shared" si="68"/>
        <v>0</v>
      </c>
      <c r="M153" s="408">
        <f t="shared" si="69"/>
        <v>0</v>
      </c>
      <c r="N153" s="426" t="e">
        <f t="shared" si="69"/>
        <v>#DIV/0!</v>
      </c>
    </row>
    <row r="154" spans="1:14" s="116" customFormat="1" ht="15.75" x14ac:dyDescent="0.25">
      <c r="A154" s="378" t="s">
        <v>417</v>
      </c>
      <c r="B154" s="493"/>
      <c r="C154" s="422">
        <v>3237</v>
      </c>
      <c r="D154" s="397" t="s">
        <v>62</v>
      </c>
      <c r="E154" s="384">
        <v>25000</v>
      </c>
      <c r="F154" s="384">
        <v>60000</v>
      </c>
      <c r="G154" s="386">
        <f>F154/7.5345</f>
        <v>7963.3685048775624</v>
      </c>
      <c r="H154" s="386">
        <v>8000</v>
      </c>
      <c r="I154" s="386">
        <v>41900</v>
      </c>
      <c r="J154" s="386">
        <v>0</v>
      </c>
      <c r="K154" s="386">
        <v>0</v>
      </c>
      <c r="L154" s="578">
        <f>K154*7.5345</f>
        <v>0</v>
      </c>
      <c r="M154" s="408">
        <f t="shared" si="69"/>
        <v>0</v>
      </c>
      <c r="N154" s="426" t="e">
        <f t="shared" si="69"/>
        <v>#DIV/0!</v>
      </c>
    </row>
    <row r="155" spans="1:14" s="29" customFormat="1" ht="14.25" x14ac:dyDescent="0.2">
      <c r="A155" s="378" t="s">
        <v>417</v>
      </c>
      <c r="B155" s="493"/>
      <c r="C155" s="422">
        <v>3237</v>
      </c>
      <c r="D155" s="397" t="s">
        <v>62</v>
      </c>
      <c r="E155" s="384">
        <v>25000</v>
      </c>
      <c r="F155" s="384">
        <v>60000</v>
      </c>
      <c r="G155" s="386">
        <f>F155/7.5345</f>
        <v>7963.3685048775624</v>
      </c>
      <c r="H155" s="386">
        <v>8000</v>
      </c>
      <c r="I155" s="386">
        <v>7400</v>
      </c>
      <c r="J155" s="386">
        <v>0</v>
      </c>
      <c r="K155" s="386">
        <v>0</v>
      </c>
      <c r="L155" s="578">
        <f>K155*7.5345</f>
        <v>0</v>
      </c>
      <c r="M155" s="408">
        <f t="shared" si="69"/>
        <v>0</v>
      </c>
      <c r="N155" s="426" t="e">
        <f t="shared" si="69"/>
        <v>#DIV/0!</v>
      </c>
    </row>
    <row r="156" spans="1:14" ht="14.25" x14ac:dyDescent="0.2">
      <c r="A156" s="394" t="s">
        <v>581</v>
      </c>
      <c r="B156" s="486"/>
      <c r="C156" s="390">
        <v>3233</v>
      </c>
      <c r="D156" s="391" t="s">
        <v>59</v>
      </c>
      <c r="E156" s="386">
        <v>25000</v>
      </c>
      <c r="F156" s="386">
        <v>25000</v>
      </c>
      <c r="G156" s="386">
        <f t="shared" ref="G156" si="71">F156/7.5345</f>
        <v>3318.0702103656513</v>
      </c>
      <c r="H156" s="386">
        <v>5000</v>
      </c>
      <c r="I156" s="386">
        <v>1360</v>
      </c>
      <c r="J156" s="386">
        <v>0</v>
      </c>
      <c r="K156" s="386">
        <v>0</v>
      </c>
      <c r="L156" s="578">
        <f t="shared" ref="L156" si="72">K156*7.5345</f>
        <v>0</v>
      </c>
      <c r="M156" s="408">
        <f t="shared" si="69"/>
        <v>0</v>
      </c>
      <c r="N156" s="426" t="e">
        <f t="shared" si="69"/>
        <v>#DIV/0!</v>
      </c>
    </row>
    <row r="157" spans="1:14" ht="15" thickBot="1" x14ac:dyDescent="0.25">
      <c r="A157" s="394" t="s">
        <v>581</v>
      </c>
      <c r="B157" s="486"/>
      <c r="C157" s="390">
        <v>3233</v>
      </c>
      <c r="D157" s="391" t="s">
        <v>59</v>
      </c>
      <c r="E157" s="386">
        <v>25000</v>
      </c>
      <c r="F157" s="386">
        <v>25000</v>
      </c>
      <c r="G157" s="386">
        <f t="shared" ref="G157" si="73">F157/7.5345</f>
        <v>3318.0702103656513</v>
      </c>
      <c r="H157" s="386">
        <v>5000</v>
      </c>
      <c r="I157" s="386">
        <v>240</v>
      </c>
      <c r="J157" s="386">
        <v>0</v>
      </c>
      <c r="K157" s="386">
        <v>0</v>
      </c>
      <c r="L157" s="578">
        <f t="shared" ref="L157" si="74">K157*7.5345</f>
        <v>0</v>
      </c>
      <c r="M157" s="408">
        <f t="shared" si="69"/>
        <v>0</v>
      </c>
      <c r="N157" s="426" t="e">
        <f t="shared" si="69"/>
        <v>#DIV/0!</v>
      </c>
    </row>
    <row r="158" spans="1:14" ht="18.75" thickBot="1" x14ac:dyDescent="0.25">
      <c r="A158" s="956" t="s">
        <v>580</v>
      </c>
      <c r="B158" s="957"/>
      <c r="C158" s="957"/>
      <c r="D158" s="958"/>
      <c r="E158" s="591">
        <v>5000</v>
      </c>
      <c r="F158" s="591">
        <f t="shared" ref="F158:L158" si="75">SUM(F161)</f>
        <v>5000</v>
      </c>
      <c r="G158" s="591">
        <f t="shared" si="75"/>
        <v>663.61404207313024</v>
      </c>
      <c r="H158" s="591">
        <f t="shared" si="75"/>
        <v>1500</v>
      </c>
      <c r="I158" s="591">
        <f t="shared" si="75"/>
        <v>1500</v>
      </c>
      <c r="J158" s="591">
        <f t="shared" si="75"/>
        <v>2000</v>
      </c>
      <c r="K158" s="591">
        <f t="shared" si="75"/>
        <v>2000</v>
      </c>
      <c r="L158" s="596">
        <f t="shared" si="75"/>
        <v>15069</v>
      </c>
      <c r="M158" s="598">
        <f t="shared" si="69"/>
        <v>133.33333333333331</v>
      </c>
      <c r="N158" s="599">
        <f t="shared" si="69"/>
        <v>100</v>
      </c>
    </row>
    <row r="159" spans="1:14" s="229" customFormat="1" ht="28.5" x14ac:dyDescent="0.2">
      <c r="A159" s="425"/>
      <c r="B159" s="42"/>
      <c r="C159" s="42"/>
      <c r="D159" s="420" t="s">
        <v>400</v>
      </c>
      <c r="E159" s="396"/>
      <c r="F159" s="395"/>
      <c r="G159" s="395"/>
      <c r="H159" s="395"/>
      <c r="I159" s="395"/>
      <c r="J159" s="395"/>
      <c r="K159" s="395"/>
      <c r="L159" s="575"/>
      <c r="M159" s="964">
        <f>AVERAGE(J161/I161*100)</f>
        <v>133.33333333333331</v>
      </c>
      <c r="N159" s="962">
        <f>AVERAGE(K161/J161*100)</f>
        <v>100</v>
      </c>
    </row>
    <row r="160" spans="1:14" s="229" customFormat="1" ht="14.25" x14ac:dyDescent="0.2">
      <c r="A160" s="425"/>
      <c r="B160" s="42"/>
      <c r="C160" s="42"/>
      <c r="D160" s="419" t="s">
        <v>498</v>
      </c>
      <c r="E160" s="386"/>
      <c r="F160" s="395"/>
      <c r="G160" s="395"/>
      <c r="H160" s="395"/>
      <c r="I160" s="395"/>
      <c r="J160" s="395"/>
      <c r="K160" s="395"/>
      <c r="L160" s="575"/>
      <c r="M160" s="965"/>
      <c r="N160" s="963"/>
    </row>
    <row r="161" spans="1:14" s="229" customFormat="1" ht="15.75" x14ac:dyDescent="0.25">
      <c r="A161" s="457"/>
      <c r="B161" s="116"/>
      <c r="C161" s="116"/>
      <c r="D161" s="454" t="s">
        <v>622</v>
      </c>
      <c r="E161" s="458">
        <v>5000</v>
      </c>
      <c r="F161" s="456">
        <f t="shared" ref="F161:L163" si="76">SUM(F162)</f>
        <v>5000</v>
      </c>
      <c r="G161" s="456">
        <f t="shared" si="76"/>
        <v>663.61404207313024</v>
      </c>
      <c r="H161" s="456">
        <f t="shared" si="76"/>
        <v>1500</v>
      </c>
      <c r="I161" s="456">
        <f t="shared" si="76"/>
        <v>1500</v>
      </c>
      <c r="J161" s="456">
        <f t="shared" si="76"/>
        <v>2000</v>
      </c>
      <c r="K161" s="456">
        <f t="shared" si="76"/>
        <v>2000</v>
      </c>
      <c r="L161" s="576">
        <f t="shared" si="76"/>
        <v>15069</v>
      </c>
      <c r="M161" s="965"/>
      <c r="N161" s="963"/>
    </row>
    <row r="162" spans="1:14" s="229" customFormat="1" ht="15" x14ac:dyDescent="0.25">
      <c r="A162" s="381" t="s">
        <v>418</v>
      </c>
      <c r="B162" s="387"/>
      <c r="C162" s="400">
        <v>38</v>
      </c>
      <c r="D162" s="387" t="s">
        <v>196</v>
      </c>
      <c r="E162" s="385">
        <v>5000</v>
      </c>
      <c r="F162" s="385">
        <f t="shared" si="76"/>
        <v>5000</v>
      </c>
      <c r="G162" s="385">
        <f t="shared" si="76"/>
        <v>663.61404207313024</v>
      </c>
      <c r="H162" s="385">
        <f t="shared" si="76"/>
        <v>1500</v>
      </c>
      <c r="I162" s="385">
        <f t="shared" si="76"/>
        <v>1500</v>
      </c>
      <c r="J162" s="385">
        <f t="shared" si="76"/>
        <v>2000</v>
      </c>
      <c r="K162" s="385">
        <f t="shared" si="76"/>
        <v>2000</v>
      </c>
      <c r="L162" s="579">
        <f t="shared" si="76"/>
        <v>15069</v>
      </c>
      <c r="M162" s="408">
        <f t="shared" ref="M162:N165" si="77">AVERAGE(J162/I162*100)</f>
        <v>133.33333333333331</v>
      </c>
      <c r="N162" s="426">
        <f t="shared" si="77"/>
        <v>100</v>
      </c>
    </row>
    <row r="163" spans="1:14" s="229" customFormat="1" ht="14.25" x14ac:dyDescent="0.2">
      <c r="A163" s="378" t="s">
        <v>418</v>
      </c>
      <c r="B163" s="389"/>
      <c r="C163" s="398">
        <v>381</v>
      </c>
      <c r="D163" s="389" t="s">
        <v>37</v>
      </c>
      <c r="E163" s="386">
        <v>5000</v>
      </c>
      <c r="F163" s="386">
        <f t="shared" si="76"/>
        <v>5000</v>
      </c>
      <c r="G163" s="386">
        <f t="shared" si="76"/>
        <v>663.61404207313024</v>
      </c>
      <c r="H163" s="386">
        <f t="shared" si="76"/>
        <v>1500</v>
      </c>
      <c r="I163" s="386">
        <f t="shared" si="76"/>
        <v>1500</v>
      </c>
      <c r="J163" s="386">
        <f t="shared" si="76"/>
        <v>2000</v>
      </c>
      <c r="K163" s="386">
        <f t="shared" si="76"/>
        <v>2000</v>
      </c>
      <c r="L163" s="578">
        <f t="shared" si="76"/>
        <v>15069</v>
      </c>
      <c r="M163" s="408">
        <f t="shared" si="77"/>
        <v>133.33333333333331</v>
      </c>
      <c r="N163" s="426">
        <f t="shared" si="77"/>
        <v>100</v>
      </c>
    </row>
    <row r="164" spans="1:14" s="229" customFormat="1" ht="15" thickBot="1" x14ac:dyDescent="0.25">
      <c r="A164" s="378" t="s">
        <v>418</v>
      </c>
      <c r="B164" s="493"/>
      <c r="C164" s="422">
        <v>3811</v>
      </c>
      <c r="D164" s="397" t="s">
        <v>398</v>
      </c>
      <c r="E164" s="384">
        <v>5000</v>
      </c>
      <c r="F164" s="384">
        <v>5000</v>
      </c>
      <c r="G164" s="386">
        <f>F164/7.5345</f>
        <v>663.61404207313024</v>
      </c>
      <c r="H164" s="386">
        <v>1500</v>
      </c>
      <c r="I164" s="386">
        <v>1500</v>
      </c>
      <c r="J164" s="386">
        <v>2000</v>
      </c>
      <c r="K164" s="386">
        <v>2000</v>
      </c>
      <c r="L164" s="578">
        <f>K164*7.5345</f>
        <v>15069</v>
      </c>
      <c r="M164" s="408">
        <f t="shared" si="77"/>
        <v>133.33333333333331</v>
      </c>
      <c r="N164" s="426">
        <f t="shared" si="77"/>
        <v>100</v>
      </c>
    </row>
    <row r="165" spans="1:14" s="679" customFormat="1" ht="18.75" thickBot="1" x14ac:dyDescent="0.25">
      <c r="A165" s="972" t="s">
        <v>582</v>
      </c>
      <c r="B165" s="973"/>
      <c r="C165" s="973"/>
      <c r="D165" s="974"/>
      <c r="E165" s="591">
        <f>SUM(E169+E190+E196)</f>
        <v>335000</v>
      </c>
      <c r="F165" s="591">
        <f>SUM(F169+F190+F196)</f>
        <v>4275000</v>
      </c>
      <c r="G165" s="591">
        <f>SUM(G169+G190+G196)</f>
        <v>567390.00597252615</v>
      </c>
      <c r="H165" s="591">
        <f>SUM(H169+H177+H190+H196)</f>
        <v>324500</v>
      </c>
      <c r="I165" s="591">
        <f t="shared" ref="I165:L165" si="78">SUM(I169+I177+I190+I196)</f>
        <v>361000</v>
      </c>
      <c r="J165" s="591">
        <f t="shared" si="78"/>
        <v>361500</v>
      </c>
      <c r="K165" s="591">
        <f t="shared" si="78"/>
        <v>361500</v>
      </c>
      <c r="L165" s="596">
        <f t="shared" si="78"/>
        <v>2648376.75</v>
      </c>
      <c r="M165" s="598">
        <f t="shared" si="77"/>
        <v>100.13850415512466</v>
      </c>
      <c r="N165" s="599">
        <f t="shared" si="77"/>
        <v>100</v>
      </c>
    </row>
    <row r="166" spans="1:14" s="116" customFormat="1" ht="15.75" x14ac:dyDescent="0.25">
      <c r="A166" s="425"/>
      <c r="B166" s="42"/>
      <c r="C166" s="42"/>
      <c r="D166" s="420" t="s">
        <v>206</v>
      </c>
      <c r="E166" s="396"/>
      <c r="F166" s="395"/>
      <c r="G166" s="395"/>
      <c r="H166" s="722"/>
      <c r="I166" s="722"/>
      <c r="J166" s="395"/>
      <c r="K166" s="395"/>
      <c r="L166" s="575"/>
      <c r="M166" s="964">
        <v>106.43939393939394</v>
      </c>
      <c r="N166" s="992">
        <v>100</v>
      </c>
    </row>
    <row r="167" spans="1:14" s="29" customFormat="1" ht="14.25" x14ac:dyDescent="0.2">
      <c r="A167" s="425"/>
      <c r="B167" s="42"/>
      <c r="C167" s="42"/>
      <c r="D167" s="419" t="s">
        <v>502</v>
      </c>
      <c r="E167" s="386"/>
      <c r="F167" s="395"/>
      <c r="G167" s="592"/>
      <c r="H167" s="723"/>
      <c r="I167" s="723"/>
      <c r="J167" s="592"/>
      <c r="K167" s="592"/>
      <c r="L167" s="615"/>
      <c r="M167" s="966"/>
      <c r="N167" s="993"/>
    </row>
    <row r="168" spans="1:14" ht="15.75" x14ac:dyDescent="0.25">
      <c r="A168" s="457"/>
      <c r="B168" s="116"/>
      <c r="C168" s="116"/>
      <c r="D168" s="975" t="s">
        <v>621</v>
      </c>
      <c r="E168" s="458"/>
      <c r="F168" s="462"/>
      <c r="G168" s="595"/>
      <c r="H168" s="724"/>
      <c r="I168" s="724"/>
      <c r="J168" s="595"/>
      <c r="K168" s="595"/>
      <c r="L168" s="616"/>
      <c r="M168" s="966"/>
      <c r="N168" s="993"/>
    </row>
    <row r="169" spans="1:14" ht="15.75" x14ac:dyDescent="0.25">
      <c r="A169" s="457"/>
      <c r="B169" s="116"/>
      <c r="C169" s="116"/>
      <c r="D169" s="976"/>
      <c r="E169" s="458">
        <v>310000</v>
      </c>
      <c r="F169" s="456">
        <f t="shared" ref="F169:I170" si="79">SUM(F170)</f>
        <v>4180000</v>
      </c>
      <c r="G169" s="593">
        <f t="shared" si="79"/>
        <v>554781.33917313674</v>
      </c>
      <c r="H169" s="725">
        <f t="shared" si="79"/>
        <v>64000</v>
      </c>
      <c r="I169" s="725">
        <f t="shared" si="79"/>
        <v>80000</v>
      </c>
      <c r="J169" s="725">
        <f t="shared" ref="J169:K170" si="80">SUM(J170)</f>
        <v>80000</v>
      </c>
      <c r="K169" s="725">
        <f t="shared" si="80"/>
        <v>80000</v>
      </c>
      <c r="L169" s="617">
        <f>SUM(L170)</f>
        <v>527415</v>
      </c>
      <c r="M169" s="966"/>
      <c r="N169" s="967"/>
    </row>
    <row r="170" spans="1:14" ht="15" x14ac:dyDescent="0.25">
      <c r="A170" s="381" t="s">
        <v>419</v>
      </c>
      <c r="B170" s="387"/>
      <c r="C170" s="377">
        <v>37</v>
      </c>
      <c r="D170" s="388" t="s">
        <v>77</v>
      </c>
      <c r="E170" s="385">
        <v>310000</v>
      </c>
      <c r="F170" s="385">
        <f t="shared" si="79"/>
        <v>4180000</v>
      </c>
      <c r="G170" s="594">
        <f t="shared" si="79"/>
        <v>554781.33917313674</v>
      </c>
      <c r="H170" s="594">
        <f t="shared" si="79"/>
        <v>64000</v>
      </c>
      <c r="I170" s="594">
        <f t="shared" si="79"/>
        <v>80000</v>
      </c>
      <c r="J170" s="594">
        <f t="shared" si="80"/>
        <v>80000</v>
      </c>
      <c r="K170" s="594">
        <f t="shared" si="80"/>
        <v>80000</v>
      </c>
      <c r="L170" s="618">
        <f>SUM(L171)</f>
        <v>527415</v>
      </c>
      <c r="M170" s="408">
        <f t="shared" ref="M170:N174" si="81">AVERAGE(J170/I170*100)</f>
        <v>100</v>
      </c>
      <c r="N170" s="426">
        <f t="shared" si="81"/>
        <v>100</v>
      </c>
    </row>
    <row r="171" spans="1:14" s="414" customFormat="1" ht="15" thickBot="1" x14ac:dyDescent="0.25">
      <c r="A171" s="378" t="s">
        <v>419</v>
      </c>
      <c r="B171" s="486"/>
      <c r="C171" s="390">
        <v>372</v>
      </c>
      <c r="D171" s="391" t="s">
        <v>77</v>
      </c>
      <c r="E171" s="386">
        <v>310000</v>
      </c>
      <c r="F171" s="386">
        <f>SUM(F172:F187)</f>
        <v>4180000</v>
      </c>
      <c r="G171" s="566">
        <f>SUM(G172:G187)</f>
        <v>554781.33917313674</v>
      </c>
      <c r="H171" s="566">
        <f>SUM(H172:H174)</f>
        <v>64000</v>
      </c>
      <c r="I171" s="566">
        <f t="shared" ref="I171:L171" si="82">SUM(I172:I174)</f>
        <v>80000</v>
      </c>
      <c r="J171" s="566">
        <f t="shared" si="82"/>
        <v>80000</v>
      </c>
      <c r="K171" s="566">
        <f t="shared" si="82"/>
        <v>80000</v>
      </c>
      <c r="L171" s="683">
        <f t="shared" si="82"/>
        <v>527415</v>
      </c>
      <c r="M171" s="408">
        <f t="shared" si="81"/>
        <v>100</v>
      </c>
      <c r="N171" s="426">
        <f t="shared" si="81"/>
        <v>100</v>
      </c>
    </row>
    <row r="172" spans="1:14" s="116" customFormat="1" ht="30" customHeight="1" thickTop="1" x14ac:dyDescent="0.25">
      <c r="A172" s="378" t="s">
        <v>419</v>
      </c>
      <c r="B172" s="486"/>
      <c r="C172" s="390">
        <v>3721</v>
      </c>
      <c r="D172" s="391" t="s">
        <v>406</v>
      </c>
      <c r="E172" s="386">
        <v>240000</v>
      </c>
      <c r="F172" s="386">
        <v>190000</v>
      </c>
      <c r="G172" s="566">
        <f>F172/7.5345</f>
        <v>25217.333598778951</v>
      </c>
      <c r="H172" s="566">
        <v>15000</v>
      </c>
      <c r="I172" s="566">
        <v>18000</v>
      </c>
      <c r="J172" s="566">
        <v>18000</v>
      </c>
      <c r="K172" s="566">
        <v>18000</v>
      </c>
      <c r="L172" s="578">
        <f>K172*7.5345</f>
        <v>135621</v>
      </c>
      <c r="M172" s="408">
        <f t="shared" si="81"/>
        <v>100</v>
      </c>
      <c r="N172" s="426">
        <f t="shared" si="81"/>
        <v>100</v>
      </c>
    </row>
    <row r="173" spans="1:14" s="29" customFormat="1" ht="30" customHeight="1" x14ac:dyDescent="0.2">
      <c r="A173" s="564" t="s">
        <v>419</v>
      </c>
      <c r="B173" s="486"/>
      <c r="C173" s="399">
        <v>3721</v>
      </c>
      <c r="D173" s="565" t="s">
        <v>427</v>
      </c>
      <c r="E173" s="566">
        <v>240000</v>
      </c>
      <c r="F173" s="566">
        <v>150000</v>
      </c>
      <c r="G173" s="566">
        <f>F173/7.5345</f>
        <v>19908.421262193908</v>
      </c>
      <c r="H173" s="566">
        <v>33000</v>
      </c>
      <c r="I173" s="566">
        <v>52000</v>
      </c>
      <c r="J173" s="566">
        <v>52000</v>
      </c>
      <c r="K173" s="566">
        <v>52000</v>
      </c>
      <c r="L173" s="683">
        <f>K173*7.5345</f>
        <v>391794</v>
      </c>
      <c r="M173" s="408">
        <f t="shared" si="81"/>
        <v>100</v>
      </c>
      <c r="N173" s="426">
        <f t="shared" si="81"/>
        <v>100</v>
      </c>
    </row>
    <row r="174" spans="1:14" ht="32.25" customHeight="1" thickBot="1" x14ac:dyDescent="0.25">
      <c r="A174" s="570" t="s">
        <v>419</v>
      </c>
      <c r="B174" s="488"/>
      <c r="C174" s="567">
        <v>3722</v>
      </c>
      <c r="D174" s="568" t="s">
        <v>491</v>
      </c>
      <c r="E174" s="569"/>
      <c r="F174" s="569"/>
      <c r="G174" s="569"/>
      <c r="H174" s="569">
        <v>16000</v>
      </c>
      <c r="I174" s="569">
        <v>10000</v>
      </c>
      <c r="J174" s="569">
        <v>10000</v>
      </c>
      <c r="K174" s="569">
        <v>10000</v>
      </c>
      <c r="L174" s="684"/>
      <c r="M174" s="413">
        <f t="shared" si="81"/>
        <v>100</v>
      </c>
      <c r="N174" s="430">
        <f t="shared" si="81"/>
        <v>100</v>
      </c>
    </row>
    <row r="175" spans="1:14" ht="15" thickTop="1" x14ac:dyDescent="0.2">
      <c r="A175" s="425"/>
      <c r="B175" s="491"/>
      <c r="C175" s="42"/>
      <c r="D175" s="420" t="s">
        <v>206</v>
      </c>
      <c r="E175" s="396"/>
      <c r="F175" s="395"/>
      <c r="G175" s="395"/>
      <c r="H175" s="395"/>
      <c r="I175" s="395"/>
      <c r="J175" s="395"/>
      <c r="K175" s="395"/>
      <c r="L175" s="575"/>
      <c r="M175" s="964">
        <f>AVERAGE(J177/I177*100)</f>
        <v>100.18656716417911</v>
      </c>
      <c r="N175" s="967">
        <f>AVERAGE(K177/J177*100)</f>
        <v>100</v>
      </c>
    </row>
    <row r="176" spans="1:14" s="480" customFormat="1" ht="15" x14ac:dyDescent="0.25">
      <c r="A176" s="425"/>
      <c r="B176" s="491"/>
      <c r="C176" s="42"/>
      <c r="D176" s="419" t="s">
        <v>502</v>
      </c>
      <c r="E176" s="386"/>
      <c r="F176" s="395"/>
      <c r="G176" s="395"/>
      <c r="H176" s="395"/>
      <c r="I176" s="395"/>
      <c r="J176" s="395"/>
      <c r="K176" s="395"/>
      <c r="L176" s="575"/>
      <c r="M176" s="965"/>
      <c r="N176" s="963"/>
    </row>
    <row r="177" spans="1:14" ht="15.75" x14ac:dyDescent="0.25">
      <c r="A177" s="457"/>
      <c r="B177" s="492"/>
      <c r="C177" s="116"/>
      <c r="D177" s="463" t="s">
        <v>620</v>
      </c>
      <c r="E177" s="458">
        <v>15000</v>
      </c>
      <c r="F177" s="456">
        <f>SUM(F183)</f>
        <v>570000</v>
      </c>
      <c r="G177" s="456">
        <f>SUM(G183)</f>
        <v>75652.000796336841</v>
      </c>
      <c r="H177" s="456">
        <f t="shared" ref="H177:L177" si="83">SUM(H178)</f>
        <v>247500</v>
      </c>
      <c r="I177" s="456">
        <f t="shared" si="83"/>
        <v>268000</v>
      </c>
      <c r="J177" s="456">
        <f t="shared" si="83"/>
        <v>268500</v>
      </c>
      <c r="K177" s="456">
        <f t="shared" si="83"/>
        <v>268500</v>
      </c>
      <c r="L177" s="576">
        <f t="shared" si="83"/>
        <v>2023013.25</v>
      </c>
      <c r="M177" s="965"/>
      <c r="N177" s="963"/>
    </row>
    <row r="178" spans="1:14" s="229" customFormat="1" ht="15" x14ac:dyDescent="0.25">
      <c r="A178" s="381" t="s">
        <v>583</v>
      </c>
      <c r="B178" s="387"/>
      <c r="C178" s="377">
        <v>37</v>
      </c>
      <c r="D178" s="388" t="s">
        <v>77</v>
      </c>
      <c r="E178" s="385">
        <v>310000</v>
      </c>
      <c r="F178" s="385">
        <f t="shared" ref="F178:L178" si="84">SUM(F179)</f>
        <v>1140000</v>
      </c>
      <c r="G178" s="594">
        <f t="shared" si="84"/>
        <v>151304.00159267371</v>
      </c>
      <c r="H178" s="594">
        <f t="shared" si="84"/>
        <v>247500</v>
      </c>
      <c r="I178" s="594">
        <f t="shared" si="84"/>
        <v>268000</v>
      </c>
      <c r="J178" s="594">
        <f t="shared" si="84"/>
        <v>268500</v>
      </c>
      <c r="K178" s="594">
        <f t="shared" si="84"/>
        <v>268500</v>
      </c>
      <c r="L178" s="618">
        <f t="shared" si="84"/>
        <v>2023013.25</v>
      </c>
      <c r="M178" s="408">
        <f t="shared" ref="M178:M187" si="85">AVERAGE(J178/I178*100)</f>
        <v>100.18656716417911</v>
      </c>
      <c r="N178" s="426">
        <f t="shared" ref="N178:N187" si="86">AVERAGE(K178/J178*100)</f>
        <v>100</v>
      </c>
    </row>
    <row r="179" spans="1:14" s="116" customFormat="1" ht="15.75" x14ac:dyDescent="0.25">
      <c r="A179" s="378" t="s">
        <v>583</v>
      </c>
      <c r="B179" s="486"/>
      <c r="C179" s="390">
        <v>372</v>
      </c>
      <c r="D179" s="391" t="s">
        <v>77</v>
      </c>
      <c r="E179" s="386">
        <v>310000</v>
      </c>
      <c r="F179" s="386">
        <f>SUM(F183:F199)</f>
        <v>1140000</v>
      </c>
      <c r="G179" s="566">
        <f>SUM(G183:G199)</f>
        <v>151304.00159267371</v>
      </c>
      <c r="H179" s="566">
        <f t="shared" ref="H179:L179" si="87">SUM(H180:H187)</f>
        <v>247500</v>
      </c>
      <c r="I179" s="566">
        <f t="shared" si="87"/>
        <v>268000</v>
      </c>
      <c r="J179" s="566">
        <f t="shared" si="87"/>
        <v>268500</v>
      </c>
      <c r="K179" s="566">
        <f t="shared" si="87"/>
        <v>268500</v>
      </c>
      <c r="L179" s="683">
        <f t="shared" si="87"/>
        <v>2023013.25</v>
      </c>
      <c r="M179" s="408">
        <f t="shared" si="85"/>
        <v>100.18656716417911</v>
      </c>
      <c r="N179" s="426">
        <f t="shared" si="86"/>
        <v>100</v>
      </c>
    </row>
    <row r="180" spans="1:14" s="29" customFormat="1" ht="14.25" x14ac:dyDescent="0.2">
      <c r="A180" s="378" t="s">
        <v>583</v>
      </c>
      <c r="B180" s="486"/>
      <c r="C180" s="399">
        <v>3721</v>
      </c>
      <c r="D180" s="565" t="s">
        <v>457</v>
      </c>
      <c r="E180" s="566">
        <v>240000</v>
      </c>
      <c r="F180" s="566">
        <v>80000</v>
      </c>
      <c r="G180" s="566">
        <f t="shared" ref="G180:G187" si="88">F180/7.5345</f>
        <v>10617.824673170084</v>
      </c>
      <c r="H180" s="566">
        <v>11000</v>
      </c>
      <c r="I180" s="566">
        <v>25000</v>
      </c>
      <c r="J180" s="566">
        <v>25000</v>
      </c>
      <c r="K180" s="566">
        <v>25000</v>
      </c>
      <c r="L180" s="683">
        <f t="shared" ref="L180:L187" si="89">K180*7.5345</f>
        <v>188362.5</v>
      </c>
      <c r="M180" s="408">
        <f t="shared" si="85"/>
        <v>100</v>
      </c>
      <c r="N180" s="426">
        <f t="shared" si="86"/>
        <v>100</v>
      </c>
    </row>
    <row r="181" spans="1:14" ht="14.25" x14ac:dyDescent="0.2">
      <c r="A181" s="378" t="s">
        <v>583</v>
      </c>
      <c r="B181" s="486"/>
      <c r="C181" s="399">
        <v>3721</v>
      </c>
      <c r="D181" s="565" t="s">
        <v>458</v>
      </c>
      <c r="E181" s="566">
        <v>240000</v>
      </c>
      <c r="F181" s="566">
        <v>50000</v>
      </c>
      <c r="G181" s="566">
        <f t="shared" si="88"/>
        <v>6636.1404207313026</v>
      </c>
      <c r="H181" s="566">
        <v>8000</v>
      </c>
      <c r="I181" s="566">
        <v>12000</v>
      </c>
      <c r="J181" s="566">
        <v>12000</v>
      </c>
      <c r="K181" s="566">
        <v>12000</v>
      </c>
      <c r="L181" s="683">
        <f t="shared" si="89"/>
        <v>90414</v>
      </c>
      <c r="M181" s="408">
        <f t="shared" si="85"/>
        <v>100</v>
      </c>
      <c r="N181" s="426">
        <f t="shared" si="86"/>
        <v>100</v>
      </c>
    </row>
    <row r="182" spans="1:14" s="131" customFormat="1" ht="14.25" x14ac:dyDescent="0.2">
      <c r="A182" s="378" t="s">
        <v>583</v>
      </c>
      <c r="B182" s="486"/>
      <c r="C182" s="399">
        <v>3721</v>
      </c>
      <c r="D182" s="565" t="s">
        <v>459</v>
      </c>
      <c r="E182" s="566">
        <v>240000</v>
      </c>
      <c r="F182" s="566">
        <v>100000</v>
      </c>
      <c r="G182" s="566">
        <f t="shared" si="88"/>
        <v>13272.280841462605</v>
      </c>
      <c r="H182" s="566">
        <v>18000</v>
      </c>
      <c r="I182" s="566">
        <v>18000</v>
      </c>
      <c r="J182" s="566">
        <v>18000</v>
      </c>
      <c r="K182" s="566">
        <v>18000</v>
      </c>
      <c r="L182" s="683">
        <f t="shared" si="89"/>
        <v>135621</v>
      </c>
      <c r="M182" s="408">
        <f t="shared" si="85"/>
        <v>100</v>
      </c>
      <c r="N182" s="426">
        <f t="shared" si="86"/>
        <v>100</v>
      </c>
    </row>
    <row r="183" spans="1:14" s="480" customFormat="1" ht="15" x14ac:dyDescent="0.25">
      <c r="A183" s="378" t="s">
        <v>583</v>
      </c>
      <c r="B183" s="486"/>
      <c r="C183" s="399">
        <v>3722</v>
      </c>
      <c r="D183" s="565" t="s">
        <v>460</v>
      </c>
      <c r="E183" s="566">
        <v>70000</v>
      </c>
      <c r="F183" s="566">
        <v>570000</v>
      </c>
      <c r="G183" s="566">
        <f t="shared" si="88"/>
        <v>75652.000796336841</v>
      </c>
      <c r="H183" s="566">
        <v>150000</v>
      </c>
      <c r="I183" s="566">
        <v>150000</v>
      </c>
      <c r="J183" s="566">
        <v>150000</v>
      </c>
      <c r="K183" s="566">
        <v>150000</v>
      </c>
      <c r="L183" s="683">
        <f t="shared" si="89"/>
        <v>1130175</v>
      </c>
      <c r="M183" s="408">
        <f t="shared" si="85"/>
        <v>100</v>
      </c>
      <c r="N183" s="426">
        <f t="shared" si="86"/>
        <v>100</v>
      </c>
    </row>
    <row r="184" spans="1:14" ht="14.25" x14ac:dyDescent="0.2">
      <c r="A184" s="378" t="s">
        <v>583</v>
      </c>
      <c r="B184" s="486"/>
      <c r="C184" s="399">
        <v>3722</v>
      </c>
      <c r="D184" s="565" t="s">
        <v>461</v>
      </c>
      <c r="E184" s="566">
        <v>70000</v>
      </c>
      <c r="F184" s="566">
        <v>40000</v>
      </c>
      <c r="G184" s="566">
        <f t="shared" si="88"/>
        <v>5308.9123365850419</v>
      </c>
      <c r="H184" s="566">
        <v>5000</v>
      </c>
      <c r="I184" s="566">
        <v>7500</v>
      </c>
      <c r="J184" s="566">
        <v>7500</v>
      </c>
      <c r="K184" s="566">
        <v>7500</v>
      </c>
      <c r="L184" s="683">
        <f t="shared" si="89"/>
        <v>56508.75</v>
      </c>
      <c r="M184" s="408">
        <f t="shared" si="85"/>
        <v>100</v>
      </c>
      <c r="N184" s="426">
        <f t="shared" si="86"/>
        <v>100</v>
      </c>
    </row>
    <row r="185" spans="1:14" s="229" customFormat="1" ht="28.5" x14ac:dyDescent="0.2">
      <c r="A185" s="378" t="s">
        <v>583</v>
      </c>
      <c r="B185" s="486"/>
      <c r="C185" s="399">
        <v>3722</v>
      </c>
      <c r="D185" s="565" t="s">
        <v>407</v>
      </c>
      <c r="E185" s="566">
        <v>70000</v>
      </c>
      <c r="F185" s="566">
        <v>50000</v>
      </c>
      <c r="G185" s="566">
        <f t="shared" si="88"/>
        <v>6636.1404207313026</v>
      </c>
      <c r="H185" s="566">
        <v>38000</v>
      </c>
      <c r="I185" s="566">
        <v>38000</v>
      </c>
      <c r="J185" s="566">
        <v>38000</v>
      </c>
      <c r="K185" s="566">
        <v>38000</v>
      </c>
      <c r="L185" s="683">
        <f t="shared" si="89"/>
        <v>286311</v>
      </c>
      <c r="M185" s="677">
        <f t="shared" si="85"/>
        <v>100</v>
      </c>
      <c r="N185" s="426">
        <f t="shared" si="86"/>
        <v>100</v>
      </c>
    </row>
    <row r="186" spans="1:14" s="116" customFormat="1" ht="28.5" x14ac:dyDescent="0.25">
      <c r="A186" s="378" t="s">
        <v>583</v>
      </c>
      <c r="B186" s="486"/>
      <c r="C186" s="399">
        <v>3722</v>
      </c>
      <c r="D186" s="565" t="s">
        <v>408</v>
      </c>
      <c r="E186" s="566">
        <v>70000</v>
      </c>
      <c r="F186" s="566">
        <v>60000</v>
      </c>
      <c r="G186" s="566">
        <f t="shared" si="88"/>
        <v>7963.3685048775624</v>
      </c>
      <c r="H186" s="566">
        <v>9000</v>
      </c>
      <c r="I186" s="566">
        <v>9500</v>
      </c>
      <c r="J186" s="566">
        <v>10000</v>
      </c>
      <c r="K186" s="566">
        <v>10000</v>
      </c>
      <c r="L186" s="683">
        <f t="shared" si="89"/>
        <v>75345</v>
      </c>
      <c r="M186" s="677">
        <f t="shared" si="85"/>
        <v>105.26315789473684</v>
      </c>
      <c r="N186" s="426">
        <f t="shared" si="86"/>
        <v>100</v>
      </c>
    </row>
    <row r="187" spans="1:14" s="29" customFormat="1" ht="29.25" thickBot="1" x14ac:dyDescent="0.25">
      <c r="A187" s="378" t="s">
        <v>583</v>
      </c>
      <c r="B187" s="488"/>
      <c r="C187" s="567">
        <v>3722</v>
      </c>
      <c r="D187" s="568" t="s">
        <v>489</v>
      </c>
      <c r="E187" s="569">
        <v>70000</v>
      </c>
      <c r="F187" s="569">
        <v>40000</v>
      </c>
      <c r="G187" s="569">
        <f t="shared" si="88"/>
        <v>5308.9123365850419</v>
      </c>
      <c r="H187" s="569">
        <v>8500</v>
      </c>
      <c r="I187" s="569">
        <v>8000</v>
      </c>
      <c r="J187" s="569">
        <v>8000</v>
      </c>
      <c r="K187" s="569">
        <v>8000</v>
      </c>
      <c r="L187" s="684">
        <f t="shared" si="89"/>
        <v>60276</v>
      </c>
      <c r="M187" s="678">
        <f t="shared" si="85"/>
        <v>100</v>
      </c>
      <c r="N187" s="478">
        <f t="shared" si="86"/>
        <v>100</v>
      </c>
    </row>
    <row r="188" spans="1:14" ht="15" thickTop="1" x14ac:dyDescent="0.2">
      <c r="A188" s="425"/>
      <c r="B188" s="491"/>
      <c r="C188" s="42"/>
      <c r="D188" s="420" t="s">
        <v>206</v>
      </c>
      <c r="E188" s="396"/>
      <c r="F188" s="395"/>
      <c r="G188" s="395"/>
      <c r="H188" s="395"/>
      <c r="I188" s="395"/>
      <c r="J188" s="395"/>
      <c r="K188" s="395"/>
      <c r="L188" s="575"/>
      <c r="M188" s="964">
        <f>AVERAGE(J190/I190*100)</f>
        <v>100</v>
      </c>
      <c r="N188" s="962">
        <f>AVERAGE(K190/J190*100)</f>
        <v>100</v>
      </c>
    </row>
    <row r="189" spans="1:14" ht="14.25" x14ac:dyDescent="0.2">
      <c r="A189" s="425"/>
      <c r="B189" s="491"/>
      <c r="C189" s="42"/>
      <c r="D189" s="419" t="s">
        <v>503</v>
      </c>
      <c r="E189" s="386"/>
      <c r="F189" s="395"/>
      <c r="G189" s="395"/>
      <c r="H189" s="395"/>
      <c r="I189" s="395"/>
      <c r="J189" s="395"/>
      <c r="K189" s="395"/>
      <c r="L189" s="575"/>
      <c r="M189" s="965"/>
      <c r="N189" s="963"/>
    </row>
    <row r="190" spans="1:14" ht="31.5" x14ac:dyDescent="0.25">
      <c r="A190" s="457"/>
      <c r="B190" s="492"/>
      <c r="C190" s="116"/>
      <c r="D190" s="463" t="s">
        <v>619</v>
      </c>
      <c r="E190" s="458">
        <v>15000</v>
      </c>
      <c r="F190" s="456">
        <f t="shared" ref="F190:L192" si="90">SUM(F191)</f>
        <v>45000</v>
      </c>
      <c r="G190" s="456">
        <f t="shared" si="90"/>
        <v>5972.5263786581718</v>
      </c>
      <c r="H190" s="456">
        <f t="shared" si="90"/>
        <v>6000</v>
      </c>
      <c r="I190" s="456">
        <f t="shared" si="90"/>
        <v>6000</v>
      </c>
      <c r="J190" s="456">
        <f t="shared" si="90"/>
        <v>6000</v>
      </c>
      <c r="K190" s="456">
        <f t="shared" si="90"/>
        <v>6000</v>
      </c>
      <c r="L190" s="576">
        <f t="shared" si="90"/>
        <v>45207</v>
      </c>
      <c r="M190" s="965"/>
      <c r="N190" s="963"/>
    </row>
    <row r="191" spans="1:14" s="414" customFormat="1" ht="15.75" thickBot="1" x14ac:dyDescent="0.3">
      <c r="A191" s="381" t="s">
        <v>584</v>
      </c>
      <c r="B191" s="487"/>
      <c r="C191" s="400">
        <v>38</v>
      </c>
      <c r="D191" s="388" t="s">
        <v>80</v>
      </c>
      <c r="E191" s="385">
        <v>15000</v>
      </c>
      <c r="F191" s="385">
        <f t="shared" si="90"/>
        <v>45000</v>
      </c>
      <c r="G191" s="385">
        <f t="shared" si="90"/>
        <v>5972.5263786581718</v>
      </c>
      <c r="H191" s="385">
        <f t="shared" si="90"/>
        <v>6000</v>
      </c>
      <c r="I191" s="385">
        <f t="shared" si="90"/>
        <v>6000</v>
      </c>
      <c r="J191" s="385">
        <f t="shared" si="90"/>
        <v>6000</v>
      </c>
      <c r="K191" s="385">
        <f t="shared" si="90"/>
        <v>6000</v>
      </c>
      <c r="L191" s="579">
        <f t="shared" si="90"/>
        <v>45207</v>
      </c>
      <c r="M191" s="408">
        <f t="shared" ref="M191:N193" si="91">AVERAGE(J191/I191*100)</f>
        <v>100</v>
      </c>
      <c r="N191" s="426">
        <f t="shared" si="91"/>
        <v>100</v>
      </c>
    </row>
    <row r="192" spans="1:14" s="116" customFormat="1" ht="16.5" thickTop="1" x14ac:dyDescent="0.25">
      <c r="A192" s="380" t="s">
        <v>584</v>
      </c>
      <c r="B192" s="486"/>
      <c r="C192" s="398">
        <v>381</v>
      </c>
      <c r="D192" s="391" t="s">
        <v>37</v>
      </c>
      <c r="E192" s="386">
        <v>15000</v>
      </c>
      <c r="F192" s="386">
        <f t="shared" si="90"/>
        <v>45000</v>
      </c>
      <c r="G192" s="386">
        <f t="shared" si="90"/>
        <v>5972.5263786581718</v>
      </c>
      <c r="H192" s="386">
        <f t="shared" si="90"/>
        <v>6000</v>
      </c>
      <c r="I192" s="386">
        <f t="shared" si="90"/>
        <v>6000</v>
      </c>
      <c r="J192" s="386">
        <f t="shared" si="90"/>
        <v>6000</v>
      </c>
      <c r="K192" s="386">
        <f t="shared" si="90"/>
        <v>6000</v>
      </c>
      <c r="L192" s="578">
        <f t="shared" si="90"/>
        <v>45207</v>
      </c>
      <c r="M192" s="408">
        <f t="shared" si="91"/>
        <v>100</v>
      </c>
      <c r="N192" s="426">
        <f t="shared" si="91"/>
        <v>100</v>
      </c>
    </row>
    <row r="193" spans="1:14" s="29" customFormat="1" ht="15" thickBot="1" x14ac:dyDescent="0.25">
      <c r="A193" s="436" t="s">
        <v>584</v>
      </c>
      <c r="B193" s="488"/>
      <c r="C193" s="437">
        <v>3811</v>
      </c>
      <c r="D193" s="411" t="s">
        <v>437</v>
      </c>
      <c r="E193" s="412">
        <v>15000</v>
      </c>
      <c r="F193" s="412">
        <v>45000</v>
      </c>
      <c r="G193" s="412">
        <f>F193/7.5345</f>
        <v>5972.5263786581718</v>
      </c>
      <c r="H193" s="412">
        <v>6000</v>
      </c>
      <c r="I193" s="412">
        <v>6000</v>
      </c>
      <c r="J193" s="412">
        <v>6000</v>
      </c>
      <c r="K193" s="412">
        <v>6000</v>
      </c>
      <c r="L193" s="580">
        <f>K193*7.5345</f>
        <v>45207</v>
      </c>
      <c r="M193" s="477">
        <f t="shared" si="91"/>
        <v>100</v>
      </c>
      <c r="N193" s="478">
        <f t="shared" si="91"/>
        <v>100</v>
      </c>
    </row>
    <row r="194" spans="1:14" ht="15" thickTop="1" x14ac:dyDescent="0.2">
      <c r="A194" s="425"/>
      <c r="B194" s="491"/>
      <c r="C194" s="42"/>
      <c r="D194" s="420" t="s">
        <v>206</v>
      </c>
      <c r="E194" s="396"/>
      <c r="F194" s="395"/>
      <c r="G194" s="395"/>
      <c r="H194" s="395"/>
      <c r="I194" s="395"/>
      <c r="J194" s="395"/>
      <c r="K194" s="395"/>
      <c r="L194" s="575"/>
      <c r="M194" s="964">
        <f>AVERAGE(J196/I196*100)</f>
        <v>100</v>
      </c>
      <c r="N194" s="962">
        <f>AVERAGE(K196/J196*100)</f>
        <v>100</v>
      </c>
    </row>
    <row r="195" spans="1:14" ht="14.25" x14ac:dyDescent="0.2">
      <c r="A195" s="425"/>
      <c r="B195" s="491"/>
      <c r="C195" s="42"/>
      <c r="D195" s="419" t="s">
        <v>504</v>
      </c>
      <c r="E195" s="386"/>
      <c r="F195" s="575"/>
      <c r="G195" s="575"/>
      <c r="H195" s="395"/>
      <c r="I195" s="395"/>
      <c r="J195" s="395"/>
      <c r="K195" s="395"/>
      <c r="L195" s="575"/>
      <c r="M195" s="965"/>
      <c r="N195" s="963"/>
    </row>
    <row r="196" spans="1:14" ht="31.5" x14ac:dyDescent="0.25">
      <c r="A196" s="457"/>
      <c r="B196" s="492"/>
      <c r="C196" s="116"/>
      <c r="D196" s="463" t="s">
        <v>618</v>
      </c>
      <c r="E196" s="458">
        <v>10000</v>
      </c>
      <c r="F196" s="456">
        <f t="shared" ref="F196:L198" si="92">SUM(F197)</f>
        <v>50000</v>
      </c>
      <c r="G196" s="456">
        <f t="shared" si="92"/>
        <v>6636.1404207313026</v>
      </c>
      <c r="H196" s="456">
        <f t="shared" si="92"/>
        <v>7000</v>
      </c>
      <c r="I196" s="456">
        <f t="shared" si="92"/>
        <v>7000</v>
      </c>
      <c r="J196" s="456">
        <f t="shared" si="92"/>
        <v>7000</v>
      </c>
      <c r="K196" s="456">
        <f t="shared" si="92"/>
        <v>7000</v>
      </c>
      <c r="L196" s="576">
        <f t="shared" si="92"/>
        <v>52741.5</v>
      </c>
      <c r="M196" s="965"/>
      <c r="N196" s="963"/>
    </row>
    <row r="197" spans="1:14" s="480" customFormat="1" ht="15" x14ac:dyDescent="0.25">
      <c r="A197" s="444" t="s">
        <v>585</v>
      </c>
      <c r="B197" s="487"/>
      <c r="C197" s="400">
        <v>37</v>
      </c>
      <c r="D197" s="388" t="s">
        <v>77</v>
      </c>
      <c r="E197" s="385">
        <v>10000</v>
      </c>
      <c r="F197" s="385">
        <f t="shared" si="92"/>
        <v>50000</v>
      </c>
      <c r="G197" s="385">
        <f t="shared" si="92"/>
        <v>6636.1404207313026</v>
      </c>
      <c r="H197" s="385">
        <f t="shared" si="92"/>
        <v>7000</v>
      </c>
      <c r="I197" s="385">
        <f t="shared" si="92"/>
        <v>7000</v>
      </c>
      <c r="J197" s="385">
        <f t="shared" si="92"/>
        <v>7000</v>
      </c>
      <c r="K197" s="385">
        <f t="shared" si="92"/>
        <v>7000</v>
      </c>
      <c r="L197" s="579">
        <f t="shared" si="92"/>
        <v>52741.5</v>
      </c>
      <c r="M197" s="408">
        <f t="shared" ref="M197:N200" si="93">AVERAGE(J197/I197*100)</f>
        <v>100</v>
      </c>
      <c r="N197" s="426">
        <f t="shared" si="93"/>
        <v>100</v>
      </c>
    </row>
    <row r="198" spans="1:14" ht="14.25" x14ac:dyDescent="0.2">
      <c r="A198" s="380" t="s">
        <v>585</v>
      </c>
      <c r="B198" s="486"/>
      <c r="C198" s="398">
        <v>372</v>
      </c>
      <c r="D198" s="391" t="s">
        <v>77</v>
      </c>
      <c r="E198" s="386">
        <v>10000</v>
      </c>
      <c r="F198" s="386">
        <f t="shared" si="92"/>
        <v>50000</v>
      </c>
      <c r="G198" s="386">
        <f t="shared" si="92"/>
        <v>6636.1404207313026</v>
      </c>
      <c r="H198" s="386">
        <f t="shared" si="92"/>
        <v>7000</v>
      </c>
      <c r="I198" s="386">
        <f t="shared" si="92"/>
        <v>7000</v>
      </c>
      <c r="J198" s="386">
        <f t="shared" si="92"/>
        <v>7000</v>
      </c>
      <c r="K198" s="386">
        <f t="shared" si="92"/>
        <v>7000</v>
      </c>
      <c r="L198" s="578">
        <f t="shared" si="92"/>
        <v>52741.5</v>
      </c>
      <c r="M198" s="408">
        <f t="shared" si="93"/>
        <v>100</v>
      </c>
      <c r="N198" s="426">
        <f t="shared" si="93"/>
        <v>100</v>
      </c>
    </row>
    <row r="199" spans="1:14" s="229" customFormat="1" ht="15" thickBot="1" x14ac:dyDescent="0.25">
      <c r="A199" s="380" t="s">
        <v>585</v>
      </c>
      <c r="B199" s="493"/>
      <c r="C199" s="422">
        <v>3722</v>
      </c>
      <c r="D199" s="393" t="s">
        <v>79</v>
      </c>
      <c r="E199" s="384">
        <v>10000</v>
      </c>
      <c r="F199" s="384">
        <v>50000</v>
      </c>
      <c r="G199" s="386">
        <f>F199/7.5345</f>
        <v>6636.1404207313026</v>
      </c>
      <c r="H199" s="386">
        <v>7000</v>
      </c>
      <c r="I199" s="386">
        <v>7000</v>
      </c>
      <c r="J199" s="386">
        <v>7000</v>
      </c>
      <c r="K199" s="386">
        <v>7000</v>
      </c>
      <c r="L199" s="578">
        <f>K199*7.5345</f>
        <v>52741.5</v>
      </c>
      <c r="M199" s="408">
        <f t="shared" si="93"/>
        <v>100</v>
      </c>
      <c r="N199" s="426">
        <f t="shared" si="93"/>
        <v>100</v>
      </c>
    </row>
    <row r="200" spans="1:14" s="116" customFormat="1" ht="18.75" thickBot="1" x14ac:dyDescent="0.3">
      <c r="A200" s="956" t="s">
        <v>586</v>
      </c>
      <c r="B200" s="957"/>
      <c r="C200" s="957"/>
      <c r="D200" s="958"/>
      <c r="E200" s="591">
        <v>35000</v>
      </c>
      <c r="F200" s="591">
        <f t="shared" ref="F200:L200" si="94">SUM(F203)</f>
        <v>100000</v>
      </c>
      <c r="G200" s="591">
        <f t="shared" si="94"/>
        <v>13272.280841462605</v>
      </c>
      <c r="H200" s="591">
        <f t="shared" si="94"/>
        <v>14000</v>
      </c>
      <c r="I200" s="591">
        <f t="shared" si="94"/>
        <v>24000</v>
      </c>
      <c r="J200" s="591">
        <f t="shared" si="94"/>
        <v>25000</v>
      </c>
      <c r="K200" s="591">
        <f t="shared" si="94"/>
        <v>25000</v>
      </c>
      <c r="L200" s="596">
        <f t="shared" si="94"/>
        <v>188362.5</v>
      </c>
      <c r="M200" s="598">
        <f t="shared" si="93"/>
        <v>104.16666666666667</v>
      </c>
      <c r="N200" s="599">
        <f t="shared" si="93"/>
        <v>100</v>
      </c>
    </row>
    <row r="201" spans="1:14" s="29" customFormat="1" ht="14.25" x14ac:dyDescent="0.2">
      <c r="A201" s="425"/>
      <c r="B201" s="42"/>
      <c r="C201" s="42"/>
      <c r="D201" s="420" t="s">
        <v>209</v>
      </c>
      <c r="E201" s="396"/>
      <c r="F201" s="395"/>
      <c r="G201" s="395"/>
      <c r="H201" s="395"/>
      <c r="I201" s="395"/>
      <c r="J201" s="395"/>
      <c r="K201" s="395"/>
      <c r="L201" s="575"/>
      <c r="M201" s="964">
        <f>AVERAGE(J203/I203*100)</f>
        <v>104.16666666666667</v>
      </c>
      <c r="N201" s="962">
        <f>AVERAGE(K203/J203*100)</f>
        <v>100</v>
      </c>
    </row>
    <row r="202" spans="1:14" ht="14.25" x14ac:dyDescent="0.2">
      <c r="A202" s="425"/>
      <c r="B202" s="42"/>
      <c r="C202" s="42"/>
      <c r="D202" s="419" t="s">
        <v>505</v>
      </c>
      <c r="E202" s="386"/>
      <c r="F202" s="395"/>
      <c r="G202" s="395"/>
      <c r="H202" s="395"/>
      <c r="I202" s="395"/>
      <c r="J202" s="395"/>
      <c r="K202" s="395"/>
      <c r="L202" s="575"/>
      <c r="M202" s="965"/>
      <c r="N202" s="963"/>
    </row>
    <row r="203" spans="1:14" ht="15.75" x14ac:dyDescent="0.25">
      <c r="A203" s="457"/>
      <c r="B203" s="116"/>
      <c r="C203" s="116"/>
      <c r="D203" s="463" t="s">
        <v>617</v>
      </c>
      <c r="E203" s="458">
        <v>35000</v>
      </c>
      <c r="F203" s="456">
        <f t="shared" ref="F203:L205" si="95">SUM(F204)</f>
        <v>100000</v>
      </c>
      <c r="G203" s="456">
        <f t="shared" si="95"/>
        <v>13272.280841462605</v>
      </c>
      <c r="H203" s="456">
        <f t="shared" si="95"/>
        <v>14000</v>
      </c>
      <c r="I203" s="456">
        <f t="shared" si="95"/>
        <v>24000</v>
      </c>
      <c r="J203" s="456">
        <f t="shared" si="95"/>
        <v>25000</v>
      </c>
      <c r="K203" s="456">
        <f t="shared" si="95"/>
        <v>25000</v>
      </c>
      <c r="L203" s="576">
        <f t="shared" si="95"/>
        <v>188362.5</v>
      </c>
      <c r="M203" s="965"/>
      <c r="N203" s="963"/>
    </row>
    <row r="204" spans="1:14" s="29" customFormat="1" ht="15" x14ac:dyDescent="0.25">
      <c r="A204" s="381" t="s">
        <v>420</v>
      </c>
      <c r="B204" s="387"/>
      <c r="C204" s="377">
        <v>32</v>
      </c>
      <c r="D204" s="388" t="s">
        <v>178</v>
      </c>
      <c r="E204" s="385">
        <v>35000</v>
      </c>
      <c r="F204" s="385">
        <f t="shared" si="95"/>
        <v>100000</v>
      </c>
      <c r="G204" s="385">
        <f t="shared" si="95"/>
        <v>13272.280841462605</v>
      </c>
      <c r="H204" s="385">
        <f t="shared" si="95"/>
        <v>14000</v>
      </c>
      <c r="I204" s="385">
        <f t="shared" si="95"/>
        <v>24000</v>
      </c>
      <c r="J204" s="385">
        <f t="shared" si="95"/>
        <v>25000</v>
      </c>
      <c r="K204" s="385">
        <f t="shared" si="95"/>
        <v>25000</v>
      </c>
      <c r="L204" s="579">
        <f t="shared" si="95"/>
        <v>188362.5</v>
      </c>
      <c r="M204" s="408">
        <f t="shared" ref="M204:N207" si="96">AVERAGE(J204/I204*100)</f>
        <v>104.16666666666667</v>
      </c>
      <c r="N204" s="426">
        <f t="shared" si="96"/>
        <v>100</v>
      </c>
    </row>
    <row r="205" spans="1:14" ht="14.25" x14ac:dyDescent="0.2">
      <c r="A205" s="378" t="s">
        <v>420</v>
      </c>
      <c r="B205" s="389"/>
      <c r="C205" s="390">
        <v>323</v>
      </c>
      <c r="D205" s="391" t="s">
        <v>56</v>
      </c>
      <c r="E205" s="386">
        <v>35000</v>
      </c>
      <c r="F205" s="386">
        <f t="shared" si="95"/>
        <v>100000</v>
      </c>
      <c r="G205" s="386">
        <f t="shared" si="95"/>
        <v>13272.280841462605</v>
      </c>
      <c r="H205" s="386">
        <f t="shared" si="95"/>
        <v>14000</v>
      </c>
      <c r="I205" s="386">
        <f t="shared" si="95"/>
        <v>24000</v>
      </c>
      <c r="J205" s="386">
        <f t="shared" si="95"/>
        <v>25000</v>
      </c>
      <c r="K205" s="386">
        <f t="shared" si="95"/>
        <v>25000</v>
      </c>
      <c r="L205" s="578">
        <f t="shared" si="95"/>
        <v>188362.5</v>
      </c>
      <c r="M205" s="408">
        <f t="shared" si="96"/>
        <v>104.16666666666667</v>
      </c>
      <c r="N205" s="426">
        <f t="shared" si="96"/>
        <v>100</v>
      </c>
    </row>
    <row r="206" spans="1:14" ht="15" thickBot="1" x14ac:dyDescent="0.25">
      <c r="A206" s="378" t="s">
        <v>420</v>
      </c>
      <c r="B206" s="493"/>
      <c r="C206" s="422">
        <v>3234</v>
      </c>
      <c r="D206" s="393" t="s">
        <v>60</v>
      </c>
      <c r="E206" s="384">
        <v>35000</v>
      </c>
      <c r="F206" s="384">
        <v>100000</v>
      </c>
      <c r="G206" s="386">
        <f>F206/7.5345</f>
        <v>13272.280841462605</v>
      </c>
      <c r="H206" s="386">
        <v>14000</v>
      </c>
      <c r="I206" s="386">
        <v>24000</v>
      </c>
      <c r="J206" s="386">
        <v>25000</v>
      </c>
      <c r="K206" s="386">
        <v>25000</v>
      </c>
      <c r="L206" s="578">
        <f>K206*7.5345</f>
        <v>188362.5</v>
      </c>
      <c r="M206" s="408">
        <f t="shared" si="96"/>
        <v>104.16666666666667</v>
      </c>
      <c r="N206" s="426">
        <f t="shared" si="96"/>
        <v>100</v>
      </c>
    </row>
    <row r="207" spans="1:14" s="414" customFormat="1" ht="18.75" thickBot="1" x14ac:dyDescent="0.25">
      <c r="A207" s="956" t="s">
        <v>587</v>
      </c>
      <c r="B207" s="957"/>
      <c r="C207" s="957"/>
      <c r="D207" s="958"/>
      <c r="E207" s="591">
        <v>40000</v>
      </c>
      <c r="F207" s="591">
        <f t="shared" ref="F207:L207" si="97">SUM(F210+F216)</f>
        <v>59000</v>
      </c>
      <c r="G207" s="591">
        <f t="shared" si="97"/>
        <v>7830.6456964629369</v>
      </c>
      <c r="H207" s="591">
        <f t="shared" si="97"/>
        <v>15000</v>
      </c>
      <c r="I207" s="591">
        <f t="shared" si="97"/>
        <v>20000</v>
      </c>
      <c r="J207" s="591">
        <f t="shared" si="97"/>
        <v>20000</v>
      </c>
      <c r="K207" s="591">
        <f t="shared" si="97"/>
        <v>20000</v>
      </c>
      <c r="L207" s="596">
        <f t="shared" si="97"/>
        <v>150690</v>
      </c>
      <c r="M207" s="598">
        <f t="shared" si="96"/>
        <v>100</v>
      </c>
      <c r="N207" s="599">
        <f t="shared" si="96"/>
        <v>100</v>
      </c>
    </row>
    <row r="208" spans="1:14" s="585" customFormat="1" ht="15.75" x14ac:dyDescent="0.25">
      <c r="A208" s="425"/>
      <c r="B208" s="42"/>
      <c r="C208" s="42"/>
      <c r="D208" s="420" t="s">
        <v>176</v>
      </c>
      <c r="E208" s="396"/>
      <c r="F208" s="395"/>
      <c r="G208" s="395"/>
      <c r="H208" s="395"/>
      <c r="I208" s="395"/>
      <c r="J208" s="395"/>
      <c r="K208" s="395"/>
      <c r="L208" s="575"/>
      <c r="M208" s="964">
        <f>AVERAGE(J210/I210*100)</f>
        <v>100</v>
      </c>
      <c r="N208" s="962">
        <f>AVERAGE(K210/J210*100)</f>
        <v>100</v>
      </c>
    </row>
    <row r="209" spans="1:14" s="587" customFormat="1" ht="14.25" x14ac:dyDescent="0.2">
      <c r="A209" s="425"/>
      <c r="B209" s="42"/>
      <c r="C209" s="42"/>
      <c r="D209" s="419" t="s">
        <v>498</v>
      </c>
      <c r="E209" s="386"/>
      <c r="F209" s="395"/>
      <c r="G209" s="395"/>
      <c r="H209" s="395"/>
      <c r="I209" s="395"/>
      <c r="J209" s="395"/>
      <c r="K209" s="395"/>
      <c r="L209" s="575"/>
      <c r="M209" s="965"/>
      <c r="N209" s="963"/>
    </row>
    <row r="210" spans="1:14" s="587" customFormat="1" ht="31.5" x14ac:dyDescent="0.25">
      <c r="A210" s="457"/>
      <c r="B210" s="116"/>
      <c r="C210" s="116"/>
      <c r="D210" s="463" t="s">
        <v>616</v>
      </c>
      <c r="E210" s="458">
        <v>40000</v>
      </c>
      <c r="F210" s="456">
        <f t="shared" ref="F210:L212" si="98">SUM(F211)</f>
        <v>50000</v>
      </c>
      <c r="G210" s="456">
        <f t="shared" si="98"/>
        <v>6636.1404207313026</v>
      </c>
      <c r="H210" s="456">
        <f t="shared" si="98"/>
        <v>10000</v>
      </c>
      <c r="I210" s="456">
        <f t="shared" si="98"/>
        <v>15000</v>
      </c>
      <c r="J210" s="456">
        <f t="shared" si="98"/>
        <v>15000</v>
      </c>
      <c r="K210" s="456">
        <f t="shared" si="98"/>
        <v>15000</v>
      </c>
      <c r="L210" s="576">
        <f t="shared" si="98"/>
        <v>113017.5</v>
      </c>
      <c r="M210" s="965"/>
      <c r="N210" s="963"/>
    </row>
    <row r="211" spans="1:14" s="116" customFormat="1" ht="15.75" x14ac:dyDescent="0.25">
      <c r="A211" s="381" t="s">
        <v>421</v>
      </c>
      <c r="B211" s="387"/>
      <c r="C211" s="377">
        <v>38</v>
      </c>
      <c r="D211" s="388" t="s">
        <v>128</v>
      </c>
      <c r="E211" s="385">
        <v>40000</v>
      </c>
      <c r="F211" s="385">
        <f t="shared" si="98"/>
        <v>50000</v>
      </c>
      <c r="G211" s="385">
        <f t="shared" si="98"/>
        <v>6636.1404207313026</v>
      </c>
      <c r="H211" s="385">
        <f t="shared" si="98"/>
        <v>10000</v>
      </c>
      <c r="I211" s="385">
        <f t="shared" si="98"/>
        <v>15000</v>
      </c>
      <c r="J211" s="385">
        <f t="shared" si="98"/>
        <v>15000</v>
      </c>
      <c r="K211" s="385">
        <f t="shared" si="98"/>
        <v>15000</v>
      </c>
      <c r="L211" s="579">
        <f t="shared" si="98"/>
        <v>113017.5</v>
      </c>
      <c r="M211" s="408">
        <f t="shared" ref="M211:N213" si="99">AVERAGE(J211/I211*100)</f>
        <v>100</v>
      </c>
      <c r="N211" s="426">
        <f t="shared" si="99"/>
        <v>100</v>
      </c>
    </row>
    <row r="212" spans="1:14" s="29" customFormat="1" ht="14.25" x14ac:dyDescent="0.2">
      <c r="A212" s="378" t="s">
        <v>421</v>
      </c>
      <c r="B212" s="389"/>
      <c r="C212" s="390">
        <v>381</v>
      </c>
      <c r="D212" s="391" t="s">
        <v>37</v>
      </c>
      <c r="E212" s="386">
        <v>40000</v>
      </c>
      <c r="F212" s="386">
        <f t="shared" si="98"/>
        <v>50000</v>
      </c>
      <c r="G212" s="386">
        <f t="shared" si="98"/>
        <v>6636.1404207313026</v>
      </c>
      <c r="H212" s="386">
        <f t="shared" si="98"/>
        <v>10000</v>
      </c>
      <c r="I212" s="386">
        <f t="shared" si="98"/>
        <v>15000</v>
      </c>
      <c r="J212" s="386">
        <f t="shared" si="98"/>
        <v>15000</v>
      </c>
      <c r="K212" s="386">
        <f t="shared" si="98"/>
        <v>15000</v>
      </c>
      <c r="L212" s="578">
        <f t="shared" si="98"/>
        <v>113017.5</v>
      </c>
      <c r="M212" s="408">
        <f t="shared" si="99"/>
        <v>100</v>
      </c>
      <c r="N212" s="426">
        <f t="shared" si="99"/>
        <v>100</v>
      </c>
    </row>
    <row r="213" spans="1:14" ht="15" thickBot="1" x14ac:dyDescent="0.25">
      <c r="A213" s="431" t="s">
        <v>421</v>
      </c>
      <c r="B213" s="488"/>
      <c r="C213" s="410">
        <v>3811</v>
      </c>
      <c r="D213" s="411" t="s">
        <v>226</v>
      </c>
      <c r="E213" s="412">
        <v>40000</v>
      </c>
      <c r="F213" s="412">
        <v>50000</v>
      </c>
      <c r="G213" s="412">
        <f>F213/7.5345</f>
        <v>6636.1404207313026</v>
      </c>
      <c r="H213" s="412">
        <v>10000</v>
      </c>
      <c r="I213" s="412">
        <v>15000</v>
      </c>
      <c r="J213" s="412">
        <v>15000</v>
      </c>
      <c r="K213" s="412">
        <v>15000</v>
      </c>
      <c r="L213" s="580">
        <f>K213*7.5345</f>
        <v>113017.5</v>
      </c>
      <c r="M213" s="477">
        <f t="shared" si="99"/>
        <v>100</v>
      </c>
      <c r="N213" s="478">
        <f t="shared" si="99"/>
        <v>100</v>
      </c>
    </row>
    <row r="214" spans="1:14" ht="15" thickTop="1" x14ac:dyDescent="0.2">
      <c r="A214" s="425"/>
      <c r="B214" s="42"/>
      <c r="C214" s="42"/>
      <c r="D214" s="420" t="s">
        <v>176</v>
      </c>
      <c r="E214" s="396"/>
      <c r="F214" s="395"/>
      <c r="G214" s="395"/>
      <c r="H214" s="395"/>
      <c r="I214" s="395"/>
      <c r="J214" s="395"/>
      <c r="K214" s="395"/>
      <c r="L214" s="575"/>
      <c r="M214" s="964">
        <f>AVERAGE(J216/I216*100)</f>
        <v>100</v>
      </c>
      <c r="N214" s="962">
        <f>AVERAGE(K216/J216*100)</f>
        <v>100</v>
      </c>
    </row>
    <row r="215" spans="1:14" ht="14.25" x14ac:dyDescent="0.2">
      <c r="A215" s="425"/>
      <c r="B215" s="42"/>
      <c r="C215" s="42"/>
      <c r="D215" s="419" t="s">
        <v>506</v>
      </c>
      <c r="E215" s="386"/>
      <c r="F215" s="395"/>
      <c r="G215" s="395"/>
      <c r="H215" s="395"/>
      <c r="I215" s="395"/>
      <c r="J215" s="395"/>
      <c r="K215" s="395"/>
      <c r="L215" s="575"/>
      <c r="M215" s="965"/>
      <c r="N215" s="963"/>
    </row>
    <row r="216" spans="1:14" s="414" customFormat="1" ht="16.5" thickBot="1" x14ac:dyDescent="0.3">
      <c r="A216" s="457"/>
      <c r="B216" s="116"/>
      <c r="C216" s="116"/>
      <c r="D216" s="463" t="s">
        <v>615</v>
      </c>
      <c r="E216" s="458">
        <v>40000</v>
      </c>
      <c r="F216" s="456">
        <f t="shared" ref="F216:L217" si="100">SUM(F217)</f>
        <v>9000</v>
      </c>
      <c r="G216" s="456">
        <f t="shared" si="100"/>
        <v>1194.5052757316344</v>
      </c>
      <c r="H216" s="456">
        <f t="shared" si="100"/>
        <v>5000</v>
      </c>
      <c r="I216" s="456">
        <f t="shared" si="100"/>
        <v>5000</v>
      </c>
      <c r="J216" s="456">
        <f t="shared" si="100"/>
        <v>5000</v>
      </c>
      <c r="K216" s="456">
        <f t="shared" si="100"/>
        <v>5000</v>
      </c>
      <c r="L216" s="576">
        <f t="shared" si="100"/>
        <v>37672.5</v>
      </c>
      <c r="M216" s="965"/>
      <c r="N216" s="963"/>
    </row>
    <row r="217" spans="1:14" s="116" customFormat="1" ht="16.5" thickTop="1" x14ac:dyDescent="0.25">
      <c r="A217" s="381" t="s">
        <v>468</v>
      </c>
      <c r="B217" s="387"/>
      <c r="C217" s="377">
        <v>32</v>
      </c>
      <c r="D217" s="388" t="s">
        <v>47</v>
      </c>
      <c r="E217" s="385">
        <v>40000</v>
      </c>
      <c r="F217" s="385">
        <f t="shared" si="100"/>
        <v>9000</v>
      </c>
      <c r="G217" s="385">
        <f t="shared" si="100"/>
        <v>1194.5052757316344</v>
      </c>
      <c r="H217" s="385">
        <v>5000</v>
      </c>
      <c r="I217" s="385">
        <f>I218</f>
        <v>5000</v>
      </c>
      <c r="J217" s="385">
        <v>5000</v>
      </c>
      <c r="K217" s="385">
        <v>5000</v>
      </c>
      <c r="L217" s="579">
        <f t="shared" si="100"/>
        <v>37672.5</v>
      </c>
      <c r="M217" s="408">
        <f t="shared" ref="M217:N220" si="101">AVERAGE(J217/I217*100)</f>
        <v>100</v>
      </c>
      <c r="N217" s="426">
        <f t="shared" si="101"/>
        <v>100</v>
      </c>
    </row>
    <row r="218" spans="1:14" s="230" customFormat="1" ht="15" x14ac:dyDescent="0.25">
      <c r="A218" s="378" t="s">
        <v>468</v>
      </c>
      <c r="B218" s="389"/>
      <c r="C218" s="390">
        <v>323</v>
      </c>
      <c r="D218" s="391" t="s">
        <v>56</v>
      </c>
      <c r="E218" s="386">
        <v>40000</v>
      </c>
      <c r="F218" s="386">
        <f t="shared" ref="F218:L218" si="102">SUM(F219:F219)</f>
        <v>9000</v>
      </c>
      <c r="G218" s="386">
        <f t="shared" si="102"/>
        <v>1194.5052757316344</v>
      </c>
      <c r="H218" s="386">
        <f t="shared" si="102"/>
        <v>5000</v>
      </c>
      <c r="I218" s="386">
        <f t="shared" si="102"/>
        <v>5000</v>
      </c>
      <c r="J218" s="386">
        <f t="shared" si="102"/>
        <v>5000</v>
      </c>
      <c r="K218" s="386">
        <f t="shared" si="102"/>
        <v>5000</v>
      </c>
      <c r="L218" s="578">
        <f t="shared" si="102"/>
        <v>37672.5</v>
      </c>
      <c r="M218" s="408">
        <f t="shared" si="101"/>
        <v>100</v>
      </c>
      <c r="N218" s="426">
        <f t="shared" si="101"/>
        <v>100</v>
      </c>
    </row>
    <row r="219" spans="1:14" ht="15" thickBot="1" x14ac:dyDescent="0.25">
      <c r="A219" s="378" t="s">
        <v>468</v>
      </c>
      <c r="B219" s="486"/>
      <c r="C219" s="390">
        <v>3236</v>
      </c>
      <c r="D219" s="391" t="s">
        <v>61</v>
      </c>
      <c r="E219" s="386">
        <v>40000</v>
      </c>
      <c r="F219" s="386">
        <v>9000</v>
      </c>
      <c r="G219" s="386">
        <f>F219/7.5345</f>
        <v>1194.5052757316344</v>
      </c>
      <c r="H219" s="386">
        <v>5000</v>
      </c>
      <c r="I219" s="386">
        <v>5000</v>
      </c>
      <c r="J219" s="386">
        <v>5000</v>
      </c>
      <c r="K219" s="386">
        <v>5000</v>
      </c>
      <c r="L219" s="578">
        <f>K219*7.5345</f>
        <v>37672.5</v>
      </c>
      <c r="M219" s="408">
        <f t="shared" si="101"/>
        <v>100</v>
      </c>
      <c r="N219" s="426">
        <f t="shared" si="101"/>
        <v>100</v>
      </c>
    </row>
    <row r="220" spans="1:14" ht="18.75" thickBot="1" x14ac:dyDescent="0.25">
      <c r="A220" s="956" t="s">
        <v>588</v>
      </c>
      <c r="B220" s="957"/>
      <c r="C220" s="957"/>
      <c r="D220" s="958"/>
      <c r="E220" s="591">
        <f t="shared" ref="E220:L220" si="103">SUM(E223+E229+E235+E241+E248)</f>
        <v>120000</v>
      </c>
      <c r="F220" s="591" t="e">
        <f t="shared" si="103"/>
        <v>#REF!</v>
      </c>
      <c r="G220" s="591" t="e">
        <f t="shared" si="103"/>
        <v>#REF!</v>
      </c>
      <c r="H220" s="591">
        <f>SUM(H223+H229+H235+H241+H248)</f>
        <v>39200</v>
      </c>
      <c r="I220" s="591">
        <f t="shared" si="103"/>
        <v>54200</v>
      </c>
      <c r="J220" s="591">
        <f t="shared" si="103"/>
        <v>52000</v>
      </c>
      <c r="K220" s="591">
        <f t="shared" si="103"/>
        <v>51000</v>
      </c>
      <c r="L220" s="596" t="e">
        <f t="shared" si="103"/>
        <v>#REF!</v>
      </c>
      <c r="M220" s="598">
        <f t="shared" si="101"/>
        <v>95.9409594095941</v>
      </c>
      <c r="N220" s="599">
        <f t="shared" si="101"/>
        <v>98.076923076923066</v>
      </c>
    </row>
    <row r="221" spans="1:14" ht="14.25" x14ac:dyDescent="0.2">
      <c r="A221" s="425"/>
      <c r="B221" s="42"/>
      <c r="C221" s="42"/>
      <c r="D221" s="420" t="s">
        <v>212</v>
      </c>
      <c r="E221" s="396"/>
      <c r="F221" s="395"/>
      <c r="G221" s="395"/>
      <c r="H221" s="395"/>
      <c r="I221" s="395"/>
      <c r="J221" s="395"/>
      <c r="K221" s="395"/>
      <c r="L221" s="575"/>
      <c r="M221" s="407"/>
      <c r="N221" s="962">
        <f>AVERAGE(K223/J223*100)</f>
        <v>100</v>
      </c>
    </row>
    <row r="222" spans="1:14" s="414" customFormat="1" ht="15" thickBot="1" x14ac:dyDescent="0.25">
      <c r="A222" s="425"/>
      <c r="B222" s="42"/>
      <c r="C222" s="42"/>
      <c r="D222" s="419" t="s">
        <v>507</v>
      </c>
      <c r="E222" s="386"/>
      <c r="F222" s="395"/>
      <c r="G222" s="395"/>
      <c r="H222" s="395"/>
      <c r="I222" s="395"/>
      <c r="J222" s="395"/>
      <c r="K222" s="395"/>
      <c r="L222" s="575"/>
      <c r="M222" s="964">
        <v>111.11111111111111</v>
      </c>
      <c r="N222" s="963"/>
    </row>
    <row r="223" spans="1:14" s="116" customFormat="1" ht="16.5" thickTop="1" x14ac:dyDescent="0.25">
      <c r="A223" s="457"/>
      <c r="D223" s="463" t="s">
        <v>614</v>
      </c>
      <c r="E223" s="458">
        <v>50000</v>
      </c>
      <c r="F223" s="456" t="e">
        <f>SUM(#REF!+F224)</f>
        <v>#REF!</v>
      </c>
      <c r="G223" s="456" t="e">
        <f>SUM(#REF!+G224)</f>
        <v>#REF!</v>
      </c>
      <c r="H223" s="456">
        <f t="shared" ref="H223:K223" si="104">SUM(H224)</f>
        <v>27500</v>
      </c>
      <c r="I223" s="456">
        <f t="shared" si="104"/>
        <v>42500</v>
      </c>
      <c r="J223" s="456">
        <f t="shared" si="104"/>
        <v>40000</v>
      </c>
      <c r="K223" s="456">
        <f t="shared" si="104"/>
        <v>40000</v>
      </c>
      <c r="L223" s="576" t="e">
        <f>SUM(#REF!+L224)</f>
        <v>#REF!</v>
      </c>
      <c r="M223" s="966"/>
      <c r="N223" s="963"/>
    </row>
    <row r="224" spans="1:14" s="116" customFormat="1" ht="15.75" x14ac:dyDescent="0.25">
      <c r="A224" s="444" t="s">
        <v>422</v>
      </c>
      <c r="B224" s="483"/>
      <c r="C224" s="377">
        <v>38</v>
      </c>
      <c r="D224" s="388" t="s">
        <v>80</v>
      </c>
      <c r="E224" s="385">
        <v>70000</v>
      </c>
      <c r="F224" s="385">
        <f t="shared" ref="F224:L225" si="105">SUM(F225)</f>
        <v>140000</v>
      </c>
      <c r="G224" s="385">
        <f t="shared" si="105"/>
        <v>18581.193178047648</v>
      </c>
      <c r="H224" s="385">
        <f t="shared" si="105"/>
        <v>27500</v>
      </c>
      <c r="I224" s="385">
        <f t="shared" si="105"/>
        <v>42500</v>
      </c>
      <c r="J224" s="385">
        <f t="shared" si="105"/>
        <v>40000</v>
      </c>
      <c r="K224" s="385">
        <f t="shared" si="105"/>
        <v>40000</v>
      </c>
      <c r="L224" s="579">
        <f t="shared" si="105"/>
        <v>301380</v>
      </c>
      <c r="M224" s="408">
        <f t="shared" ref="M224:N226" si="106">AVERAGE(J224/I224*100)</f>
        <v>94.117647058823522</v>
      </c>
      <c r="N224" s="426">
        <f t="shared" si="106"/>
        <v>100</v>
      </c>
    </row>
    <row r="225" spans="1:14" s="29" customFormat="1" ht="14.25" x14ac:dyDescent="0.2">
      <c r="A225" s="380" t="s">
        <v>422</v>
      </c>
      <c r="B225" s="482"/>
      <c r="C225" s="390">
        <v>381</v>
      </c>
      <c r="D225" s="391" t="s">
        <v>37</v>
      </c>
      <c r="E225" s="386">
        <v>50000</v>
      </c>
      <c r="F225" s="386">
        <f t="shared" si="105"/>
        <v>140000</v>
      </c>
      <c r="G225" s="386">
        <f t="shared" si="105"/>
        <v>18581.193178047648</v>
      </c>
      <c r="H225" s="386">
        <f t="shared" si="105"/>
        <v>27500</v>
      </c>
      <c r="I225" s="386">
        <f t="shared" si="105"/>
        <v>42500</v>
      </c>
      <c r="J225" s="386">
        <f t="shared" si="105"/>
        <v>40000</v>
      </c>
      <c r="K225" s="386">
        <f t="shared" si="105"/>
        <v>40000</v>
      </c>
      <c r="L225" s="578">
        <f t="shared" si="105"/>
        <v>301380</v>
      </c>
      <c r="M225" s="408">
        <f t="shared" si="106"/>
        <v>94.117647058823522</v>
      </c>
      <c r="N225" s="426">
        <f t="shared" si="106"/>
        <v>100</v>
      </c>
    </row>
    <row r="226" spans="1:14" ht="15" thickBot="1" x14ac:dyDescent="0.25">
      <c r="A226" s="436" t="s">
        <v>422</v>
      </c>
      <c r="B226" s="484"/>
      <c r="C226" s="410">
        <v>3811</v>
      </c>
      <c r="D226" s="411" t="s">
        <v>409</v>
      </c>
      <c r="E226" s="412">
        <v>50000</v>
      </c>
      <c r="F226" s="412">
        <v>140000</v>
      </c>
      <c r="G226" s="412">
        <f>F226/7.5345</f>
        <v>18581.193178047648</v>
      </c>
      <c r="H226" s="412">
        <v>27500</v>
      </c>
      <c r="I226" s="412">
        <v>42500</v>
      </c>
      <c r="J226" s="412">
        <v>40000</v>
      </c>
      <c r="K226" s="412">
        <v>40000</v>
      </c>
      <c r="L226" s="580">
        <f>K226*7.5345</f>
        <v>301380</v>
      </c>
      <c r="M226" s="477">
        <f t="shared" si="106"/>
        <v>94.117647058823522</v>
      </c>
      <c r="N226" s="478">
        <f t="shared" si="106"/>
        <v>100</v>
      </c>
    </row>
    <row r="227" spans="1:14" ht="15" thickTop="1" x14ac:dyDescent="0.2">
      <c r="A227" s="763"/>
      <c r="B227" s="764"/>
      <c r="C227" s="765"/>
      <c r="D227" s="752" t="s">
        <v>212</v>
      </c>
      <c r="E227" s="766"/>
      <c r="F227" s="722"/>
      <c r="G227" s="722"/>
      <c r="H227" s="722"/>
      <c r="I227" s="722"/>
      <c r="J227" s="722"/>
      <c r="K227" s="722"/>
      <c r="L227" s="753"/>
      <c r="M227" s="754"/>
      <c r="N227" s="755"/>
    </row>
    <row r="228" spans="1:14" ht="14.25" x14ac:dyDescent="0.2">
      <c r="A228" s="763"/>
      <c r="B228" s="764"/>
      <c r="C228" s="765"/>
      <c r="D228" s="752" t="s">
        <v>508</v>
      </c>
      <c r="E228" s="720"/>
      <c r="F228" s="722"/>
      <c r="G228" s="722"/>
      <c r="H228" s="722"/>
      <c r="I228" s="722"/>
      <c r="J228" s="722"/>
      <c r="K228" s="722"/>
      <c r="L228" s="753"/>
      <c r="M228" s="754"/>
      <c r="N228" s="755"/>
    </row>
    <row r="229" spans="1:14" s="480" customFormat="1" ht="15.75" x14ac:dyDescent="0.25">
      <c r="A229" s="767"/>
      <c r="B229" s="768"/>
      <c r="C229" s="769"/>
      <c r="D229" s="770" t="s">
        <v>613</v>
      </c>
      <c r="E229" s="730">
        <v>0</v>
      </c>
      <c r="F229" s="706">
        <f t="shared" ref="F229:L231" si="107">SUM(F230)</f>
        <v>0</v>
      </c>
      <c r="G229" s="706">
        <f t="shared" si="107"/>
        <v>0</v>
      </c>
      <c r="H229" s="706">
        <f t="shared" si="107"/>
        <v>1500</v>
      </c>
      <c r="I229" s="706">
        <f t="shared" si="107"/>
        <v>1500</v>
      </c>
      <c r="J229" s="706">
        <f t="shared" si="107"/>
        <v>1500</v>
      </c>
      <c r="K229" s="706">
        <f t="shared" si="107"/>
        <v>1500</v>
      </c>
      <c r="L229" s="771">
        <f t="shared" si="107"/>
        <v>11301.75</v>
      </c>
      <c r="M229" s="772">
        <v>0</v>
      </c>
      <c r="N229" s="773">
        <v>0</v>
      </c>
    </row>
    <row r="230" spans="1:14" ht="15" x14ac:dyDescent="0.25">
      <c r="A230" s="758" t="s">
        <v>589</v>
      </c>
      <c r="B230" s="774"/>
      <c r="C230" s="733">
        <v>42</v>
      </c>
      <c r="D230" s="734" t="s">
        <v>96</v>
      </c>
      <c r="E230" s="735">
        <v>0</v>
      </c>
      <c r="F230" s="735">
        <f t="shared" si="107"/>
        <v>0</v>
      </c>
      <c r="G230" s="735">
        <f t="shared" si="107"/>
        <v>0</v>
      </c>
      <c r="H230" s="735">
        <f t="shared" si="107"/>
        <v>1500</v>
      </c>
      <c r="I230" s="735">
        <f t="shared" si="107"/>
        <v>1500</v>
      </c>
      <c r="J230" s="735">
        <f t="shared" si="107"/>
        <v>1500</v>
      </c>
      <c r="K230" s="735">
        <f t="shared" si="107"/>
        <v>1500</v>
      </c>
      <c r="L230" s="736">
        <f t="shared" si="107"/>
        <v>11301.75</v>
      </c>
      <c r="M230" s="728">
        <v>0</v>
      </c>
      <c r="N230" s="775">
        <v>0</v>
      </c>
    </row>
    <row r="231" spans="1:14" s="589" customFormat="1" ht="14.25" x14ac:dyDescent="0.2">
      <c r="A231" s="762" t="s">
        <v>589</v>
      </c>
      <c r="B231" s="776"/>
      <c r="C231" s="738">
        <v>426</v>
      </c>
      <c r="D231" s="726" t="s">
        <v>117</v>
      </c>
      <c r="E231" s="720">
        <v>0</v>
      </c>
      <c r="F231" s="720">
        <f t="shared" si="107"/>
        <v>0</v>
      </c>
      <c r="G231" s="720">
        <f t="shared" si="107"/>
        <v>0</v>
      </c>
      <c r="H231" s="720">
        <f t="shared" si="107"/>
        <v>1500</v>
      </c>
      <c r="I231" s="720">
        <f t="shared" si="107"/>
        <v>1500</v>
      </c>
      <c r="J231" s="720">
        <f t="shared" si="107"/>
        <v>1500</v>
      </c>
      <c r="K231" s="720">
        <f t="shared" si="107"/>
        <v>1500</v>
      </c>
      <c r="L231" s="727">
        <f t="shared" si="107"/>
        <v>11301.75</v>
      </c>
      <c r="M231" s="728">
        <v>0</v>
      </c>
      <c r="N231" s="775">
        <v>0</v>
      </c>
    </row>
    <row r="232" spans="1:14" s="585" customFormat="1" ht="16.5" thickBot="1" x14ac:dyDescent="0.3">
      <c r="A232" s="777" t="s">
        <v>589</v>
      </c>
      <c r="B232" s="746"/>
      <c r="C232" s="778">
        <v>4264</v>
      </c>
      <c r="D232" s="748" t="s">
        <v>626</v>
      </c>
      <c r="E232" s="749">
        <v>0</v>
      </c>
      <c r="F232" s="749">
        <v>0</v>
      </c>
      <c r="G232" s="749">
        <f>F232/7.5345</f>
        <v>0</v>
      </c>
      <c r="H232" s="412">
        <v>1500</v>
      </c>
      <c r="I232" s="749">
        <v>1500</v>
      </c>
      <c r="J232" s="749">
        <v>1500</v>
      </c>
      <c r="K232" s="749">
        <v>1500</v>
      </c>
      <c r="L232" s="750">
        <f>K232*7.5345</f>
        <v>11301.75</v>
      </c>
      <c r="M232" s="751">
        <v>0</v>
      </c>
      <c r="N232" s="757">
        <v>0</v>
      </c>
    </row>
    <row r="233" spans="1:14" s="586" customFormat="1" ht="15" thickTop="1" x14ac:dyDescent="0.2">
      <c r="A233" s="425"/>
      <c r="B233" s="489"/>
      <c r="C233" s="42"/>
      <c r="D233" s="420" t="s">
        <v>212</v>
      </c>
      <c r="E233" s="396"/>
      <c r="F233" s="395"/>
      <c r="G233" s="395"/>
      <c r="H233" s="395"/>
      <c r="I233" s="395"/>
      <c r="J233" s="395"/>
      <c r="K233" s="395"/>
      <c r="L233" s="575"/>
      <c r="M233" s="405"/>
      <c r="N233" s="433"/>
    </row>
    <row r="234" spans="1:14" s="587" customFormat="1" ht="14.25" x14ac:dyDescent="0.2">
      <c r="A234" s="425"/>
      <c r="B234" s="489"/>
      <c r="C234" s="42"/>
      <c r="D234" s="420" t="s">
        <v>498</v>
      </c>
      <c r="E234" s="386"/>
      <c r="F234" s="395"/>
      <c r="G234" s="395"/>
      <c r="H234" s="395"/>
      <c r="I234" s="395"/>
      <c r="J234" s="395"/>
      <c r="K234" s="395"/>
      <c r="L234" s="575"/>
      <c r="M234" s="405"/>
      <c r="N234" s="433"/>
    </row>
    <row r="235" spans="1:14" s="587" customFormat="1" ht="15.75" x14ac:dyDescent="0.25">
      <c r="A235" s="457"/>
      <c r="B235" s="490"/>
      <c r="C235" s="116"/>
      <c r="D235" s="463" t="s">
        <v>612</v>
      </c>
      <c r="E235" s="458">
        <v>5000</v>
      </c>
      <c r="F235" s="456">
        <f t="shared" ref="F235:L237" si="108">SUM(F236)</f>
        <v>5000</v>
      </c>
      <c r="G235" s="456">
        <f t="shared" si="108"/>
        <v>663.61404207313024</v>
      </c>
      <c r="H235" s="456">
        <f t="shared" si="108"/>
        <v>700</v>
      </c>
      <c r="I235" s="456">
        <f t="shared" si="108"/>
        <v>700</v>
      </c>
      <c r="J235" s="456">
        <f t="shared" si="108"/>
        <v>1000</v>
      </c>
      <c r="K235" s="456">
        <f t="shared" si="108"/>
        <v>1000</v>
      </c>
      <c r="L235" s="576">
        <f t="shared" si="108"/>
        <v>7534.5</v>
      </c>
      <c r="M235" s="408">
        <f t="shared" ref="M235:N238" si="109">AVERAGE(J235/I235*100)</f>
        <v>142.85714285714286</v>
      </c>
      <c r="N235" s="426">
        <f t="shared" si="109"/>
        <v>100</v>
      </c>
    </row>
    <row r="236" spans="1:14" s="588" customFormat="1" ht="15" x14ac:dyDescent="0.25">
      <c r="A236" s="444" t="s">
        <v>590</v>
      </c>
      <c r="B236" s="487"/>
      <c r="C236" s="400">
        <v>38</v>
      </c>
      <c r="D236" s="388" t="s">
        <v>80</v>
      </c>
      <c r="E236" s="385">
        <v>5000</v>
      </c>
      <c r="F236" s="385">
        <f t="shared" si="108"/>
        <v>5000</v>
      </c>
      <c r="G236" s="385">
        <f t="shared" si="108"/>
        <v>663.61404207313024</v>
      </c>
      <c r="H236" s="385">
        <f t="shared" si="108"/>
        <v>700</v>
      </c>
      <c r="I236" s="385">
        <f t="shared" si="108"/>
        <v>700</v>
      </c>
      <c r="J236" s="385">
        <f t="shared" si="108"/>
        <v>1000</v>
      </c>
      <c r="K236" s="385">
        <f t="shared" si="108"/>
        <v>1000</v>
      </c>
      <c r="L236" s="579">
        <f t="shared" si="108"/>
        <v>7534.5</v>
      </c>
      <c r="M236" s="408">
        <f t="shared" si="109"/>
        <v>142.85714285714286</v>
      </c>
      <c r="N236" s="426">
        <f t="shared" si="109"/>
        <v>100</v>
      </c>
    </row>
    <row r="237" spans="1:14" s="587" customFormat="1" ht="14.25" x14ac:dyDescent="0.2">
      <c r="A237" s="380" t="s">
        <v>590</v>
      </c>
      <c r="B237" s="486"/>
      <c r="C237" s="398">
        <v>381</v>
      </c>
      <c r="D237" s="391" t="s">
        <v>37</v>
      </c>
      <c r="E237" s="386">
        <v>5000</v>
      </c>
      <c r="F237" s="386">
        <f t="shared" si="108"/>
        <v>5000</v>
      </c>
      <c r="G237" s="386">
        <f t="shared" si="108"/>
        <v>663.61404207313024</v>
      </c>
      <c r="H237" s="386">
        <f t="shared" si="108"/>
        <v>700</v>
      </c>
      <c r="I237" s="386">
        <f t="shared" si="108"/>
        <v>700</v>
      </c>
      <c r="J237" s="386">
        <f t="shared" si="108"/>
        <v>1000</v>
      </c>
      <c r="K237" s="386">
        <f t="shared" si="108"/>
        <v>1000</v>
      </c>
      <c r="L237" s="578">
        <f t="shared" si="108"/>
        <v>7534.5</v>
      </c>
      <c r="M237" s="408">
        <f t="shared" si="109"/>
        <v>142.85714285714286</v>
      </c>
      <c r="N237" s="426">
        <f t="shared" si="109"/>
        <v>100</v>
      </c>
    </row>
    <row r="238" spans="1:14" s="229" customFormat="1" ht="15" thickBot="1" x14ac:dyDescent="0.25">
      <c r="A238" s="436" t="s">
        <v>590</v>
      </c>
      <c r="B238" s="488"/>
      <c r="C238" s="437">
        <v>3811</v>
      </c>
      <c r="D238" s="411" t="s">
        <v>85</v>
      </c>
      <c r="E238" s="412">
        <v>5000</v>
      </c>
      <c r="F238" s="412">
        <v>5000</v>
      </c>
      <c r="G238" s="412">
        <f>F238/7.5345</f>
        <v>663.61404207313024</v>
      </c>
      <c r="H238" s="412">
        <v>700</v>
      </c>
      <c r="I238" s="412">
        <v>700</v>
      </c>
      <c r="J238" s="412">
        <v>1000</v>
      </c>
      <c r="K238" s="412">
        <v>1000</v>
      </c>
      <c r="L238" s="580">
        <f>K238*7.5345</f>
        <v>7534.5</v>
      </c>
      <c r="M238" s="477">
        <f t="shared" si="109"/>
        <v>142.85714285714286</v>
      </c>
      <c r="N238" s="478">
        <f t="shared" si="109"/>
        <v>100</v>
      </c>
    </row>
    <row r="239" spans="1:14" s="116" customFormat="1" ht="16.5" thickTop="1" x14ac:dyDescent="0.25">
      <c r="A239" s="763"/>
      <c r="B239" s="764"/>
      <c r="C239" s="765"/>
      <c r="D239" s="752" t="s">
        <v>212</v>
      </c>
      <c r="E239" s="766"/>
      <c r="F239" s="722"/>
      <c r="G239" s="722"/>
      <c r="H239" s="722"/>
      <c r="I239" s="722"/>
      <c r="J239" s="722"/>
      <c r="K239" s="722"/>
      <c r="L239" s="753"/>
      <c r="M239" s="968">
        <f>AVERAGE(J241/I241*100)</f>
        <v>100</v>
      </c>
      <c r="N239" s="970">
        <f>AVERAGE(K241/J241*100)</f>
        <v>80</v>
      </c>
    </row>
    <row r="240" spans="1:14" s="29" customFormat="1" ht="14.25" x14ac:dyDescent="0.2">
      <c r="A240" s="763"/>
      <c r="B240" s="764"/>
      <c r="C240" s="765"/>
      <c r="D240" s="779" t="s">
        <v>498</v>
      </c>
      <c r="E240" s="720"/>
      <c r="F240" s="722"/>
      <c r="G240" s="722"/>
      <c r="H240" s="722"/>
      <c r="I240" s="722"/>
      <c r="J240" s="722"/>
      <c r="K240" s="722"/>
      <c r="L240" s="753"/>
      <c r="M240" s="969"/>
      <c r="N240" s="971"/>
    </row>
    <row r="241" spans="1:14" ht="15.75" x14ac:dyDescent="0.25">
      <c r="A241" s="767"/>
      <c r="B241" s="768"/>
      <c r="C241" s="769"/>
      <c r="D241" s="780" t="s">
        <v>611</v>
      </c>
      <c r="E241" s="730">
        <v>20000</v>
      </c>
      <c r="F241" s="706">
        <f t="shared" ref="F241:L243" si="110">SUM(F242)</f>
        <v>20000</v>
      </c>
      <c r="G241" s="706">
        <f t="shared" si="110"/>
        <v>2654.4561682925209</v>
      </c>
      <c r="H241" s="706">
        <f t="shared" si="110"/>
        <v>5000</v>
      </c>
      <c r="I241" s="706">
        <f t="shared" si="110"/>
        <v>5000</v>
      </c>
      <c r="J241" s="706">
        <f t="shared" si="110"/>
        <v>5000</v>
      </c>
      <c r="K241" s="706">
        <f t="shared" si="110"/>
        <v>4000</v>
      </c>
      <c r="L241" s="771">
        <f t="shared" si="110"/>
        <v>30138</v>
      </c>
      <c r="M241" s="969"/>
      <c r="N241" s="971"/>
    </row>
    <row r="242" spans="1:14" ht="15" x14ac:dyDescent="0.25">
      <c r="A242" s="758" t="s">
        <v>591</v>
      </c>
      <c r="B242" s="732"/>
      <c r="C242" s="733">
        <v>32</v>
      </c>
      <c r="D242" s="734" t="s">
        <v>178</v>
      </c>
      <c r="E242" s="735">
        <v>20000</v>
      </c>
      <c r="F242" s="735">
        <f t="shared" si="110"/>
        <v>20000</v>
      </c>
      <c r="G242" s="735">
        <f t="shared" si="110"/>
        <v>2654.4561682925209</v>
      </c>
      <c r="H242" s="735">
        <f t="shared" si="110"/>
        <v>5000</v>
      </c>
      <c r="I242" s="735">
        <f t="shared" si="110"/>
        <v>5000</v>
      </c>
      <c r="J242" s="735">
        <f t="shared" si="110"/>
        <v>5000</v>
      </c>
      <c r="K242" s="735">
        <f t="shared" si="110"/>
        <v>4000</v>
      </c>
      <c r="L242" s="736">
        <f t="shared" si="110"/>
        <v>30138</v>
      </c>
      <c r="M242" s="760">
        <f t="shared" ref="M242:N244" si="111">AVERAGE(J242/I242*100)</f>
        <v>100</v>
      </c>
      <c r="N242" s="761">
        <f t="shared" si="111"/>
        <v>80</v>
      </c>
    </row>
    <row r="243" spans="1:14" ht="14.25" x14ac:dyDescent="0.2">
      <c r="A243" s="762" t="s">
        <v>591</v>
      </c>
      <c r="B243" s="737"/>
      <c r="C243" s="738">
        <v>322</v>
      </c>
      <c r="D243" s="726" t="s">
        <v>52</v>
      </c>
      <c r="E243" s="720">
        <v>20000</v>
      </c>
      <c r="F243" s="720">
        <f t="shared" si="110"/>
        <v>20000</v>
      </c>
      <c r="G243" s="720">
        <f t="shared" si="110"/>
        <v>2654.4561682925209</v>
      </c>
      <c r="H243" s="720">
        <f t="shared" si="110"/>
        <v>5000</v>
      </c>
      <c r="I243" s="720">
        <f t="shared" si="110"/>
        <v>5000</v>
      </c>
      <c r="J243" s="720">
        <f t="shared" si="110"/>
        <v>5000</v>
      </c>
      <c r="K243" s="720">
        <f t="shared" si="110"/>
        <v>4000</v>
      </c>
      <c r="L243" s="727">
        <f t="shared" si="110"/>
        <v>30138</v>
      </c>
      <c r="M243" s="760">
        <f t="shared" si="111"/>
        <v>100</v>
      </c>
      <c r="N243" s="761">
        <f t="shared" si="111"/>
        <v>80</v>
      </c>
    </row>
    <row r="244" spans="1:14" s="414" customFormat="1" ht="15" thickBot="1" x14ac:dyDescent="0.25">
      <c r="A244" s="777" t="s">
        <v>591</v>
      </c>
      <c r="B244" s="746"/>
      <c r="C244" s="747">
        <v>3227</v>
      </c>
      <c r="D244" s="748" t="s">
        <v>399</v>
      </c>
      <c r="E244" s="749">
        <v>20000</v>
      </c>
      <c r="F244" s="749">
        <v>20000</v>
      </c>
      <c r="G244" s="749">
        <f>F244/7.5345</f>
        <v>2654.4561682925209</v>
      </c>
      <c r="H244" s="749">
        <v>5000</v>
      </c>
      <c r="I244" s="749">
        <v>5000</v>
      </c>
      <c r="J244" s="749">
        <v>5000</v>
      </c>
      <c r="K244" s="749">
        <v>4000</v>
      </c>
      <c r="L244" s="750">
        <f>K244*7.5345</f>
        <v>30138</v>
      </c>
      <c r="M244" s="781">
        <f t="shared" si="111"/>
        <v>100</v>
      </c>
      <c r="N244" s="782">
        <f t="shared" si="111"/>
        <v>80</v>
      </c>
    </row>
    <row r="245" spans="1:14" s="116" customFormat="1" ht="16.5" thickTop="1" x14ac:dyDescent="0.25">
      <c r="A245" s="763"/>
      <c r="B245" s="764"/>
      <c r="C245" s="765"/>
      <c r="D245" s="752" t="s">
        <v>212</v>
      </c>
      <c r="E245" s="766"/>
      <c r="F245" s="722"/>
      <c r="G245" s="722"/>
      <c r="H245" s="722"/>
      <c r="I245" s="722"/>
      <c r="J245" s="722"/>
      <c r="K245" s="722"/>
      <c r="L245" s="753"/>
      <c r="M245" s="754"/>
      <c r="N245" s="755"/>
    </row>
    <row r="246" spans="1:14" s="29" customFormat="1" ht="14.25" x14ac:dyDescent="0.2">
      <c r="A246" s="763"/>
      <c r="B246" s="764"/>
      <c r="C246" s="765"/>
      <c r="D246" s="779" t="s">
        <v>498</v>
      </c>
      <c r="E246" s="720"/>
      <c r="F246" s="722"/>
      <c r="G246" s="722"/>
      <c r="H246" s="722"/>
      <c r="I246" s="722"/>
      <c r="J246" s="722"/>
      <c r="K246" s="722"/>
      <c r="L246" s="753"/>
      <c r="M246" s="754"/>
      <c r="N246" s="755"/>
    </row>
    <row r="247" spans="1:14" ht="15.75" x14ac:dyDescent="0.25">
      <c r="A247" s="767"/>
      <c r="B247" s="768"/>
      <c r="C247" s="769"/>
      <c r="D247" s="1004" t="s">
        <v>610</v>
      </c>
      <c r="E247" s="730"/>
      <c r="F247" s="786"/>
      <c r="G247" s="786"/>
      <c r="H247" s="786"/>
      <c r="I247" s="786"/>
      <c r="J247" s="786"/>
      <c r="K247" s="786"/>
      <c r="L247" s="787"/>
      <c r="M247" s="788"/>
      <c r="N247" s="789"/>
    </row>
    <row r="248" spans="1:14" ht="15.75" x14ac:dyDescent="0.25">
      <c r="A248" s="767"/>
      <c r="B248" s="768"/>
      <c r="C248" s="769"/>
      <c r="D248" s="1005"/>
      <c r="E248" s="730">
        <v>45000</v>
      </c>
      <c r="F248" s="706">
        <f t="shared" ref="F248:L249" si="112">SUM(F249)</f>
        <v>25000</v>
      </c>
      <c r="G248" s="706">
        <f t="shared" si="112"/>
        <v>3318.0702103656513</v>
      </c>
      <c r="H248" s="706">
        <f t="shared" si="112"/>
        <v>4500</v>
      </c>
      <c r="I248" s="706">
        <f t="shared" si="112"/>
        <v>4500</v>
      </c>
      <c r="J248" s="706">
        <f t="shared" si="112"/>
        <v>4500</v>
      </c>
      <c r="K248" s="706">
        <f t="shared" si="112"/>
        <v>4500</v>
      </c>
      <c r="L248" s="771">
        <f t="shared" si="112"/>
        <v>33905.25</v>
      </c>
      <c r="M248" s="760">
        <f t="shared" ref="M248:N253" si="113">AVERAGE(J248/I248*100)</f>
        <v>100</v>
      </c>
      <c r="N248" s="761">
        <f t="shared" si="113"/>
        <v>100</v>
      </c>
    </row>
    <row r="249" spans="1:14" ht="15" x14ac:dyDescent="0.25">
      <c r="A249" s="758" t="s">
        <v>592</v>
      </c>
      <c r="B249" s="732"/>
      <c r="C249" s="733">
        <v>32</v>
      </c>
      <c r="D249" s="734" t="s">
        <v>178</v>
      </c>
      <c r="E249" s="735">
        <v>45000</v>
      </c>
      <c r="F249" s="735">
        <f t="shared" si="112"/>
        <v>25000</v>
      </c>
      <c r="G249" s="735">
        <f t="shared" si="112"/>
        <v>3318.0702103656513</v>
      </c>
      <c r="H249" s="735">
        <f t="shared" si="112"/>
        <v>4500</v>
      </c>
      <c r="I249" s="735">
        <f t="shared" si="112"/>
        <v>4500</v>
      </c>
      <c r="J249" s="735">
        <f t="shared" si="112"/>
        <v>4500</v>
      </c>
      <c r="K249" s="735">
        <f t="shared" si="112"/>
        <v>4500</v>
      </c>
      <c r="L249" s="736">
        <f t="shared" si="112"/>
        <v>33905.25</v>
      </c>
      <c r="M249" s="760">
        <f t="shared" si="113"/>
        <v>100</v>
      </c>
      <c r="N249" s="761">
        <f t="shared" si="113"/>
        <v>100</v>
      </c>
    </row>
    <row r="250" spans="1:14" ht="14.25" x14ac:dyDescent="0.2">
      <c r="A250" s="762" t="s">
        <v>592</v>
      </c>
      <c r="B250" s="737"/>
      <c r="C250" s="738">
        <v>323</v>
      </c>
      <c r="D250" s="726" t="s">
        <v>117</v>
      </c>
      <c r="E250" s="720">
        <v>45000</v>
      </c>
      <c r="F250" s="720">
        <f>SUM(F251:F252)</f>
        <v>25000</v>
      </c>
      <c r="G250" s="720">
        <f>SUM(G251:G252)</f>
        <v>3318.0702103656513</v>
      </c>
      <c r="H250" s="720">
        <f t="shared" ref="H250:K250" si="114">SUM(H251+H252)</f>
        <v>4500</v>
      </c>
      <c r="I250" s="720">
        <f t="shared" si="114"/>
        <v>4500</v>
      </c>
      <c r="J250" s="720">
        <f t="shared" si="114"/>
        <v>4500</v>
      </c>
      <c r="K250" s="720">
        <f t="shared" si="114"/>
        <v>4500</v>
      </c>
      <c r="L250" s="727">
        <f>SUM(L251:L252)</f>
        <v>33905.25</v>
      </c>
      <c r="M250" s="760">
        <f t="shared" si="113"/>
        <v>100</v>
      </c>
      <c r="N250" s="761">
        <f t="shared" si="113"/>
        <v>100</v>
      </c>
    </row>
    <row r="251" spans="1:14" ht="14.25" x14ac:dyDescent="0.2">
      <c r="A251" s="762" t="s">
        <v>592</v>
      </c>
      <c r="B251" s="737"/>
      <c r="C251" s="738">
        <v>3237</v>
      </c>
      <c r="D251" s="726" t="s">
        <v>454</v>
      </c>
      <c r="E251" s="720">
        <v>15000</v>
      </c>
      <c r="F251" s="720">
        <v>15000</v>
      </c>
      <c r="G251" s="720">
        <f>F251/7.5345</f>
        <v>1990.8421262193906</v>
      </c>
      <c r="H251" s="720">
        <v>2500</v>
      </c>
      <c r="I251" s="720">
        <v>2500</v>
      </c>
      <c r="J251" s="720">
        <v>2500</v>
      </c>
      <c r="K251" s="720">
        <v>2500</v>
      </c>
      <c r="L251" s="727">
        <f>K251*7.5345</f>
        <v>18836.25</v>
      </c>
      <c r="M251" s="760">
        <f t="shared" si="113"/>
        <v>100</v>
      </c>
      <c r="N251" s="761">
        <f t="shared" si="113"/>
        <v>100</v>
      </c>
    </row>
    <row r="252" spans="1:14" ht="15" thickBot="1" x14ac:dyDescent="0.25">
      <c r="A252" s="762" t="s">
        <v>592</v>
      </c>
      <c r="B252" s="740"/>
      <c r="C252" s="741">
        <v>3237</v>
      </c>
      <c r="D252" s="742" t="s">
        <v>62</v>
      </c>
      <c r="E252" s="743">
        <v>30000</v>
      </c>
      <c r="F252" s="743">
        <v>10000</v>
      </c>
      <c r="G252" s="720">
        <f>F252/7.5345</f>
        <v>1327.2280841462605</v>
      </c>
      <c r="H252" s="386">
        <v>2000</v>
      </c>
      <c r="I252" s="720">
        <v>2000</v>
      </c>
      <c r="J252" s="720">
        <v>2000</v>
      </c>
      <c r="K252" s="720">
        <v>2000</v>
      </c>
      <c r="L252" s="727">
        <f>K252*7.5345</f>
        <v>15069</v>
      </c>
      <c r="M252" s="760">
        <f t="shared" si="113"/>
        <v>100</v>
      </c>
      <c r="N252" s="761">
        <f t="shared" si="113"/>
        <v>100</v>
      </c>
    </row>
    <row r="253" spans="1:14" s="480" customFormat="1" ht="18.75" thickBot="1" x14ac:dyDescent="0.3">
      <c r="A253" s="956" t="s">
        <v>593</v>
      </c>
      <c r="B253" s="957"/>
      <c r="C253" s="957"/>
      <c r="D253" s="958"/>
      <c r="E253" s="591">
        <v>200000</v>
      </c>
      <c r="F253" s="591">
        <f t="shared" ref="F253:L253" si="115">SUM(F256)</f>
        <v>600000</v>
      </c>
      <c r="G253" s="591">
        <f t="shared" si="115"/>
        <v>79633.685048775631</v>
      </c>
      <c r="H253" s="591">
        <f t="shared" si="115"/>
        <v>90000</v>
      </c>
      <c r="I253" s="591">
        <f t="shared" si="115"/>
        <v>95000</v>
      </c>
      <c r="J253" s="591">
        <f t="shared" si="115"/>
        <v>90000</v>
      </c>
      <c r="K253" s="591">
        <f t="shared" si="115"/>
        <v>90000</v>
      </c>
      <c r="L253" s="596">
        <f t="shared" si="115"/>
        <v>678105</v>
      </c>
      <c r="M253" s="598">
        <f t="shared" si="113"/>
        <v>94.73684210526315</v>
      </c>
      <c r="N253" s="599">
        <f t="shared" si="113"/>
        <v>100</v>
      </c>
    </row>
    <row r="254" spans="1:14" ht="14.25" x14ac:dyDescent="0.2">
      <c r="A254" s="425"/>
      <c r="B254" s="42"/>
      <c r="C254" s="42"/>
      <c r="D254" s="420" t="s">
        <v>410</v>
      </c>
      <c r="E254" s="396">
        <v>200000</v>
      </c>
      <c r="F254" s="395"/>
      <c r="G254" s="395"/>
      <c r="H254" s="395"/>
      <c r="I254" s="395"/>
      <c r="J254" s="395"/>
      <c r="K254" s="395"/>
      <c r="L254" s="575"/>
      <c r="M254" s="407"/>
      <c r="N254" s="434"/>
    </row>
    <row r="255" spans="1:14" s="229" customFormat="1" ht="14.25" x14ac:dyDescent="0.2">
      <c r="A255" s="425"/>
      <c r="B255" s="42"/>
      <c r="C255" s="42"/>
      <c r="D255" s="420" t="s">
        <v>509</v>
      </c>
      <c r="E255" s="386">
        <v>200000</v>
      </c>
      <c r="F255" s="395"/>
      <c r="G255" s="395"/>
      <c r="H255" s="395"/>
      <c r="I255" s="395"/>
      <c r="J255" s="395"/>
      <c r="K255" s="395"/>
      <c r="L255" s="575"/>
      <c r="M255" s="407"/>
      <c r="N255" s="434"/>
    </row>
    <row r="256" spans="1:14" s="116" customFormat="1" ht="15.75" x14ac:dyDescent="0.25">
      <c r="A256" s="457"/>
      <c r="D256" s="463" t="s">
        <v>609</v>
      </c>
      <c r="E256" s="458">
        <v>200000</v>
      </c>
      <c r="F256" s="456">
        <f t="shared" ref="F256:L258" si="116">SUM(F257)</f>
        <v>600000</v>
      </c>
      <c r="G256" s="456">
        <f t="shared" si="116"/>
        <v>79633.685048775631</v>
      </c>
      <c r="H256" s="706">
        <f t="shared" si="116"/>
        <v>90000</v>
      </c>
      <c r="I256" s="706">
        <f t="shared" si="116"/>
        <v>95000</v>
      </c>
      <c r="J256" s="706">
        <f t="shared" si="116"/>
        <v>90000</v>
      </c>
      <c r="K256" s="706">
        <f t="shared" si="116"/>
        <v>90000</v>
      </c>
      <c r="L256" s="576">
        <f t="shared" si="116"/>
        <v>678105</v>
      </c>
      <c r="M256" s="408">
        <f t="shared" ref="M256:N260" si="117">AVERAGE(J256/I256*100)</f>
        <v>94.73684210526315</v>
      </c>
      <c r="N256" s="426">
        <f t="shared" si="117"/>
        <v>100</v>
      </c>
    </row>
    <row r="257" spans="1:14" s="230" customFormat="1" ht="15" x14ac:dyDescent="0.25">
      <c r="A257" s="381" t="s">
        <v>483</v>
      </c>
      <c r="B257" s="387"/>
      <c r="C257" s="377">
        <v>38</v>
      </c>
      <c r="D257" s="388" t="s">
        <v>80</v>
      </c>
      <c r="E257" s="385">
        <v>200000</v>
      </c>
      <c r="F257" s="385">
        <f t="shared" si="116"/>
        <v>600000</v>
      </c>
      <c r="G257" s="385">
        <f t="shared" si="116"/>
        <v>79633.685048775631</v>
      </c>
      <c r="H257" s="735">
        <f t="shared" si="116"/>
        <v>90000</v>
      </c>
      <c r="I257" s="735">
        <f t="shared" si="116"/>
        <v>95000</v>
      </c>
      <c r="J257" s="735">
        <f t="shared" si="116"/>
        <v>90000</v>
      </c>
      <c r="K257" s="735">
        <f t="shared" si="116"/>
        <v>90000</v>
      </c>
      <c r="L257" s="579">
        <f t="shared" si="116"/>
        <v>678105</v>
      </c>
      <c r="M257" s="408">
        <f t="shared" si="117"/>
        <v>94.73684210526315</v>
      </c>
      <c r="N257" s="426">
        <f t="shared" si="117"/>
        <v>100</v>
      </c>
    </row>
    <row r="258" spans="1:14" ht="14.25" x14ac:dyDescent="0.2">
      <c r="A258" s="378" t="s">
        <v>483</v>
      </c>
      <c r="B258" s="389"/>
      <c r="C258" s="390">
        <v>381</v>
      </c>
      <c r="D258" s="391" t="s">
        <v>37</v>
      </c>
      <c r="E258" s="386">
        <v>200000</v>
      </c>
      <c r="F258" s="386">
        <f t="shared" si="116"/>
        <v>600000</v>
      </c>
      <c r="G258" s="386">
        <f t="shared" si="116"/>
        <v>79633.685048775631</v>
      </c>
      <c r="H258" s="720">
        <f t="shared" si="116"/>
        <v>90000</v>
      </c>
      <c r="I258" s="720">
        <f t="shared" si="116"/>
        <v>95000</v>
      </c>
      <c r="J258" s="720">
        <f t="shared" si="116"/>
        <v>90000</v>
      </c>
      <c r="K258" s="720">
        <f t="shared" si="116"/>
        <v>90000</v>
      </c>
      <c r="L258" s="578">
        <f t="shared" si="116"/>
        <v>678105</v>
      </c>
      <c r="M258" s="408">
        <f t="shared" si="117"/>
        <v>94.73684210526315</v>
      </c>
      <c r="N258" s="426">
        <f t="shared" si="117"/>
        <v>100</v>
      </c>
    </row>
    <row r="259" spans="1:14" ht="15" thickBot="1" x14ac:dyDescent="0.25">
      <c r="A259" s="378" t="s">
        <v>483</v>
      </c>
      <c r="B259" s="493"/>
      <c r="C259" s="423">
        <v>3811</v>
      </c>
      <c r="D259" s="393" t="s">
        <v>84</v>
      </c>
      <c r="E259" s="384">
        <v>200000</v>
      </c>
      <c r="F259" s="384">
        <v>600000</v>
      </c>
      <c r="G259" s="386">
        <f>F259/7.5345</f>
        <v>79633.685048775631</v>
      </c>
      <c r="H259" s="386">
        <v>90000</v>
      </c>
      <c r="I259" s="386">
        <v>95000</v>
      </c>
      <c r="J259" s="386">
        <v>90000</v>
      </c>
      <c r="K259" s="386">
        <v>90000</v>
      </c>
      <c r="L259" s="578">
        <f>K259*7.5345</f>
        <v>678105</v>
      </c>
      <c r="M259" s="408">
        <f t="shared" si="117"/>
        <v>94.73684210526315</v>
      </c>
      <c r="N259" s="426">
        <f t="shared" si="117"/>
        <v>100</v>
      </c>
    </row>
    <row r="260" spans="1:14" ht="18.75" thickBot="1" x14ac:dyDescent="0.25">
      <c r="A260" s="956" t="s">
        <v>594</v>
      </c>
      <c r="B260" s="957"/>
      <c r="C260" s="957"/>
      <c r="D260" s="958"/>
      <c r="E260" s="591">
        <f t="shared" ref="E260:L260" si="118">SUM(E263+E269)</f>
        <v>45000</v>
      </c>
      <c r="F260" s="591">
        <f t="shared" si="118"/>
        <v>127000</v>
      </c>
      <c r="G260" s="591">
        <f t="shared" si="118"/>
        <v>16855.796668657509</v>
      </c>
      <c r="H260" s="591">
        <f t="shared" si="118"/>
        <v>29500</v>
      </c>
      <c r="I260" s="591">
        <f t="shared" si="118"/>
        <v>34500</v>
      </c>
      <c r="J260" s="591">
        <f t="shared" si="118"/>
        <v>38000</v>
      </c>
      <c r="K260" s="591">
        <f t="shared" si="118"/>
        <v>39000</v>
      </c>
      <c r="L260" s="596">
        <f t="shared" si="118"/>
        <v>293845.5</v>
      </c>
      <c r="M260" s="598">
        <f t="shared" si="117"/>
        <v>110.14492753623189</v>
      </c>
      <c r="N260" s="599">
        <f t="shared" si="117"/>
        <v>102.63157894736842</v>
      </c>
    </row>
    <row r="261" spans="1:14" ht="14.25" x14ac:dyDescent="0.2">
      <c r="A261" s="425"/>
      <c r="B261" s="42"/>
      <c r="C261" s="42"/>
      <c r="D261" s="420" t="s">
        <v>225</v>
      </c>
      <c r="E261" s="396"/>
      <c r="F261" s="395"/>
      <c r="G261" s="395"/>
      <c r="H261" s="395"/>
      <c r="I261" s="395"/>
      <c r="J261" s="395"/>
      <c r="K261" s="395"/>
      <c r="L261" s="575"/>
      <c r="M261" s="964">
        <f>AVERAGE(J263/I263*100)</f>
        <v>114.28571428571428</v>
      </c>
      <c r="N261" s="962">
        <v>100</v>
      </c>
    </row>
    <row r="262" spans="1:14" s="480" customFormat="1" ht="15" x14ac:dyDescent="0.25">
      <c r="A262" s="425"/>
      <c r="B262" s="42"/>
      <c r="C262" s="42"/>
      <c r="D262" s="419" t="s">
        <v>498</v>
      </c>
      <c r="E262" s="386"/>
      <c r="F262" s="395"/>
      <c r="G262" s="395"/>
      <c r="H262" s="395"/>
      <c r="I262" s="395"/>
      <c r="J262" s="395"/>
      <c r="K262" s="395"/>
      <c r="L262" s="575"/>
      <c r="M262" s="965"/>
      <c r="N262" s="963"/>
    </row>
    <row r="263" spans="1:14" ht="15.75" x14ac:dyDescent="0.25">
      <c r="A263" s="457"/>
      <c r="B263" s="116"/>
      <c r="C263" s="116"/>
      <c r="D263" s="463" t="s">
        <v>608</v>
      </c>
      <c r="E263" s="458">
        <v>20000</v>
      </c>
      <c r="F263" s="456">
        <f t="shared" ref="F263:L265" si="119">SUM(F264)</f>
        <v>25000</v>
      </c>
      <c r="G263" s="456">
        <f t="shared" si="119"/>
        <v>3318.0702103656513</v>
      </c>
      <c r="H263" s="456">
        <f t="shared" si="119"/>
        <v>3500</v>
      </c>
      <c r="I263" s="456">
        <f t="shared" si="119"/>
        <v>3500</v>
      </c>
      <c r="J263" s="456">
        <f t="shared" si="119"/>
        <v>4000</v>
      </c>
      <c r="K263" s="456">
        <f t="shared" si="119"/>
        <v>5000</v>
      </c>
      <c r="L263" s="576">
        <f t="shared" si="119"/>
        <v>37672.5</v>
      </c>
      <c r="M263" s="965"/>
      <c r="N263" s="963"/>
    </row>
    <row r="264" spans="1:14" s="229" customFormat="1" ht="15" x14ac:dyDescent="0.25">
      <c r="A264" s="381" t="s">
        <v>484</v>
      </c>
      <c r="B264" s="387"/>
      <c r="C264" s="377">
        <v>38</v>
      </c>
      <c r="D264" s="388" t="s">
        <v>80</v>
      </c>
      <c r="E264" s="385">
        <v>20000</v>
      </c>
      <c r="F264" s="385">
        <f t="shared" si="119"/>
        <v>25000</v>
      </c>
      <c r="G264" s="385">
        <f t="shared" si="119"/>
        <v>3318.0702103656513</v>
      </c>
      <c r="H264" s="385">
        <f t="shared" si="119"/>
        <v>3500</v>
      </c>
      <c r="I264" s="385">
        <f t="shared" si="119"/>
        <v>3500</v>
      </c>
      <c r="J264" s="385">
        <f t="shared" si="119"/>
        <v>4000</v>
      </c>
      <c r="K264" s="385">
        <f t="shared" si="119"/>
        <v>5000</v>
      </c>
      <c r="L264" s="579">
        <f t="shared" si="119"/>
        <v>37672.5</v>
      </c>
      <c r="M264" s="408">
        <f t="shared" ref="M264:N266" si="120">AVERAGE(J264/I264*100)</f>
        <v>114.28571428571428</v>
      </c>
      <c r="N264" s="426">
        <f t="shared" si="120"/>
        <v>125</v>
      </c>
    </row>
    <row r="265" spans="1:14" s="116" customFormat="1" ht="15.75" x14ac:dyDescent="0.25">
      <c r="A265" s="378" t="s">
        <v>484</v>
      </c>
      <c r="B265" s="486"/>
      <c r="C265" s="390">
        <v>381</v>
      </c>
      <c r="D265" s="391" t="s">
        <v>37</v>
      </c>
      <c r="E265" s="386">
        <v>20000</v>
      </c>
      <c r="F265" s="386">
        <f t="shared" si="119"/>
        <v>25000</v>
      </c>
      <c r="G265" s="386">
        <f t="shared" si="119"/>
        <v>3318.0702103656513</v>
      </c>
      <c r="H265" s="386">
        <f t="shared" si="119"/>
        <v>3500</v>
      </c>
      <c r="I265" s="386">
        <f t="shared" si="119"/>
        <v>3500</v>
      </c>
      <c r="J265" s="386">
        <f t="shared" si="119"/>
        <v>4000</v>
      </c>
      <c r="K265" s="386">
        <f t="shared" si="119"/>
        <v>5000</v>
      </c>
      <c r="L265" s="578">
        <f t="shared" si="119"/>
        <v>37672.5</v>
      </c>
      <c r="M265" s="408">
        <f t="shared" si="120"/>
        <v>114.28571428571428</v>
      </c>
      <c r="N265" s="426">
        <f t="shared" si="120"/>
        <v>125</v>
      </c>
    </row>
    <row r="266" spans="1:14" s="29" customFormat="1" ht="15" thickBot="1" x14ac:dyDescent="0.25">
      <c r="A266" s="431" t="s">
        <v>484</v>
      </c>
      <c r="B266" s="488"/>
      <c r="C266" s="410">
        <v>3811</v>
      </c>
      <c r="D266" s="411" t="s">
        <v>85</v>
      </c>
      <c r="E266" s="412">
        <v>20000</v>
      </c>
      <c r="F266" s="412">
        <v>25000</v>
      </c>
      <c r="G266" s="412">
        <f>F266/7.5345</f>
        <v>3318.0702103656513</v>
      </c>
      <c r="H266" s="412">
        <v>3500</v>
      </c>
      <c r="I266" s="412">
        <v>3500</v>
      </c>
      <c r="J266" s="412">
        <v>4000</v>
      </c>
      <c r="K266" s="412">
        <v>5000</v>
      </c>
      <c r="L266" s="580">
        <f>K266*7.5345</f>
        <v>37672.5</v>
      </c>
      <c r="M266" s="477">
        <f t="shared" si="120"/>
        <v>114.28571428571428</v>
      </c>
      <c r="N266" s="478">
        <f t="shared" si="120"/>
        <v>125</v>
      </c>
    </row>
    <row r="267" spans="1:14" ht="15" thickTop="1" x14ac:dyDescent="0.2">
      <c r="A267" s="425"/>
      <c r="B267" s="491"/>
      <c r="C267" s="42"/>
      <c r="D267" s="420" t="s">
        <v>225</v>
      </c>
      <c r="E267" s="396"/>
      <c r="F267" s="395"/>
      <c r="G267" s="395"/>
      <c r="H267" s="395"/>
      <c r="I267" s="395"/>
      <c r="J267" s="395"/>
      <c r="K267" s="395"/>
      <c r="L267" s="575"/>
      <c r="M267" s="964">
        <f>AVERAGE(J269/I269*100)</f>
        <v>109.6774193548387</v>
      </c>
      <c r="N267" s="962">
        <f>AVERAGE(K269/J269*100)</f>
        <v>100</v>
      </c>
    </row>
    <row r="268" spans="1:14" ht="14.25" x14ac:dyDescent="0.2">
      <c r="A268" s="425"/>
      <c r="B268" s="491"/>
      <c r="C268" s="42"/>
      <c r="D268" s="419" t="s">
        <v>505</v>
      </c>
      <c r="E268" s="386"/>
      <c r="F268" s="395"/>
      <c r="G268" s="395"/>
      <c r="H268" s="395"/>
      <c r="I268" s="395"/>
      <c r="J268" s="395"/>
      <c r="K268" s="395"/>
      <c r="L268" s="575"/>
      <c r="M268" s="965"/>
      <c r="N268" s="963"/>
    </row>
    <row r="269" spans="1:14" ht="15.75" x14ac:dyDescent="0.25">
      <c r="A269" s="767"/>
      <c r="B269" s="785"/>
      <c r="C269" s="769"/>
      <c r="D269" s="721" t="s">
        <v>607</v>
      </c>
      <c r="E269" s="458">
        <v>25000</v>
      </c>
      <c r="F269" s="456">
        <f t="shared" ref="F269:L269" si="121">SUM(F270)</f>
        <v>102000</v>
      </c>
      <c r="G269" s="456">
        <f t="shared" si="121"/>
        <v>13537.726458291856</v>
      </c>
      <c r="H269" s="456">
        <f t="shared" si="121"/>
        <v>26000</v>
      </c>
      <c r="I269" s="456">
        <f t="shared" si="121"/>
        <v>31000</v>
      </c>
      <c r="J269" s="456">
        <f t="shared" si="121"/>
        <v>34000</v>
      </c>
      <c r="K269" s="456">
        <f t="shared" si="121"/>
        <v>34000</v>
      </c>
      <c r="L269" s="576">
        <f t="shared" si="121"/>
        <v>256173</v>
      </c>
      <c r="M269" s="965"/>
      <c r="N269" s="963"/>
    </row>
    <row r="270" spans="1:14" s="414" customFormat="1" ht="15.75" thickBot="1" x14ac:dyDescent="0.3">
      <c r="A270" s="381" t="s">
        <v>595</v>
      </c>
      <c r="B270" s="487"/>
      <c r="C270" s="377">
        <v>32</v>
      </c>
      <c r="D270" s="388" t="s">
        <v>178</v>
      </c>
      <c r="E270" s="385">
        <v>25000</v>
      </c>
      <c r="F270" s="385">
        <f t="shared" ref="F270:K270" si="122">SUM(F271+F274)</f>
        <v>102000</v>
      </c>
      <c r="G270" s="385">
        <f t="shared" si="122"/>
        <v>13537.726458291856</v>
      </c>
      <c r="H270" s="385">
        <f>SUM(H271+H274)</f>
        <v>26000</v>
      </c>
      <c r="I270" s="385">
        <f t="shared" si="122"/>
        <v>31000</v>
      </c>
      <c r="J270" s="385">
        <f t="shared" si="122"/>
        <v>34000</v>
      </c>
      <c r="K270" s="385">
        <f t="shared" si="122"/>
        <v>34000</v>
      </c>
      <c r="L270" s="579">
        <f>SUM(L271+L274)</f>
        <v>256173</v>
      </c>
      <c r="M270" s="408">
        <f t="shared" ref="M270:N277" si="123">AVERAGE(J270/I270*100)</f>
        <v>109.6774193548387</v>
      </c>
      <c r="N270" s="426">
        <f t="shared" si="123"/>
        <v>100</v>
      </c>
    </row>
    <row r="271" spans="1:14" s="116" customFormat="1" ht="16.5" thickTop="1" x14ac:dyDescent="0.25">
      <c r="A271" s="378" t="s">
        <v>595</v>
      </c>
      <c r="B271" s="486"/>
      <c r="C271" s="390">
        <v>323</v>
      </c>
      <c r="D271" s="391" t="s">
        <v>56</v>
      </c>
      <c r="E271" s="386">
        <v>8000</v>
      </c>
      <c r="F271" s="386">
        <f t="shared" ref="F271:K271" si="124">SUM(F272:F273)</f>
        <v>90000</v>
      </c>
      <c r="G271" s="386">
        <f t="shared" si="124"/>
        <v>11945.052757316344</v>
      </c>
      <c r="H271" s="386">
        <f>SUM(H272:H273)</f>
        <v>20000</v>
      </c>
      <c r="I271" s="386">
        <f t="shared" si="124"/>
        <v>23000</v>
      </c>
      <c r="J271" s="386">
        <f t="shared" si="124"/>
        <v>26000</v>
      </c>
      <c r="K271" s="386">
        <f t="shared" si="124"/>
        <v>26000</v>
      </c>
      <c r="L271" s="578">
        <f>SUM(L272:L273)</f>
        <v>195897</v>
      </c>
      <c r="M271" s="408">
        <f t="shared" si="123"/>
        <v>113.04347826086956</v>
      </c>
      <c r="N271" s="426">
        <f t="shared" si="123"/>
        <v>100</v>
      </c>
    </row>
    <row r="272" spans="1:14" s="29" customFormat="1" ht="14.25" x14ac:dyDescent="0.2">
      <c r="A272" s="378" t="s">
        <v>595</v>
      </c>
      <c r="B272" s="486"/>
      <c r="C272" s="390">
        <v>3233</v>
      </c>
      <c r="D272" s="391" t="s">
        <v>59</v>
      </c>
      <c r="E272" s="386">
        <v>5000</v>
      </c>
      <c r="F272" s="386">
        <v>10000</v>
      </c>
      <c r="G272" s="386">
        <f>F272/7.5345</f>
        <v>1327.2280841462605</v>
      </c>
      <c r="H272" s="386">
        <v>15000</v>
      </c>
      <c r="I272" s="386">
        <v>17000</v>
      </c>
      <c r="J272" s="386">
        <v>20000</v>
      </c>
      <c r="K272" s="386">
        <v>20000</v>
      </c>
      <c r="L272" s="578">
        <f>K272*7.5345</f>
        <v>150690</v>
      </c>
      <c r="M272" s="408">
        <f t="shared" si="123"/>
        <v>117.64705882352942</v>
      </c>
      <c r="N272" s="426">
        <f t="shared" si="123"/>
        <v>100</v>
      </c>
    </row>
    <row r="273" spans="1:14" ht="14.25" x14ac:dyDescent="0.2">
      <c r="A273" s="378" t="s">
        <v>595</v>
      </c>
      <c r="B273" s="486"/>
      <c r="C273" s="390">
        <v>3239</v>
      </c>
      <c r="D273" s="391" t="s">
        <v>64</v>
      </c>
      <c r="E273" s="386">
        <v>3000</v>
      </c>
      <c r="F273" s="386">
        <v>80000</v>
      </c>
      <c r="G273" s="386">
        <f>F273/7.5345</f>
        <v>10617.824673170084</v>
      </c>
      <c r="H273" s="386">
        <v>5000</v>
      </c>
      <c r="I273" s="386">
        <v>6000</v>
      </c>
      <c r="J273" s="386">
        <v>6000</v>
      </c>
      <c r="K273" s="386">
        <v>6000</v>
      </c>
      <c r="L273" s="578">
        <f>K273*7.5345</f>
        <v>45207</v>
      </c>
      <c r="M273" s="408">
        <f t="shared" si="123"/>
        <v>100</v>
      </c>
      <c r="N273" s="426">
        <f t="shared" si="123"/>
        <v>100</v>
      </c>
    </row>
    <row r="274" spans="1:14" s="4" customFormat="1" ht="14.25" x14ac:dyDescent="0.2">
      <c r="A274" s="378" t="s">
        <v>595</v>
      </c>
      <c r="B274" s="486"/>
      <c r="C274" s="390">
        <v>329</v>
      </c>
      <c r="D274" s="391" t="s">
        <v>65</v>
      </c>
      <c r="E274" s="386">
        <v>17000</v>
      </c>
      <c r="F274" s="386">
        <f>SUM(F275:F276)</f>
        <v>12000</v>
      </c>
      <c r="G274" s="386">
        <f>SUM(G275:G276)</f>
        <v>1592.6737009755125</v>
      </c>
      <c r="H274" s="386">
        <f t="shared" ref="H274:K274" si="125">SUM(H275+H276)</f>
        <v>6000</v>
      </c>
      <c r="I274" s="386">
        <f t="shared" si="125"/>
        <v>8000</v>
      </c>
      <c r="J274" s="386">
        <f t="shared" si="125"/>
        <v>8000</v>
      </c>
      <c r="K274" s="386">
        <f t="shared" si="125"/>
        <v>8000</v>
      </c>
      <c r="L274" s="578">
        <f>SUM(L275:L276)</f>
        <v>60276</v>
      </c>
      <c r="M274" s="408">
        <f t="shared" si="123"/>
        <v>100</v>
      </c>
      <c r="N274" s="426">
        <f t="shared" si="123"/>
        <v>100</v>
      </c>
    </row>
    <row r="275" spans="1:14" s="480" customFormat="1" ht="15" x14ac:dyDescent="0.25">
      <c r="A275" s="378" t="s">
        <v>595</v>
      </c>
      <c r="B275" s="486"/>
      <c r="C275" s="390">
        <v>3293</v>
      </c>
      <c r="D275" s="391" t="s">
        <v>68</v>
      </c>
      <c r="E275" s="386">
        <v>15000</v>
      </c>
      <c r="F275" s="386">
        <v>10000</v>
      </c>
      <c r="G275" s="386">
        <f>F275/7.5345</f>
        <v>1327.2280841462605</v>
      </c>
      <c r="H275" s="386">
        <v>5000</v>
      </c>
      <c r="I275" s="386">
        <v>7000</v>
      </c>
      <c r="J275" s="386">
        <v>7000</v>
      </c>
      <c r="K275" s="386">
        <v>7000</v>
      </c>
      <c r="L275" s="578">
        <f>K275*7.5345</f>
        <v>52741.5</v>
      </c>
      <c r="M275" s="408">
        <f t="shared" si="123"/>
        <v>100</v>
      </c>
      <c r="N275" s="426">
        <f t="shared" si="123"/>
        <v>100</v>
      </c>
    </row>
    <row r="276" spans="1:14" ht="15" thickBot="1" x14ac:dyDescent="0.25">
      <c r="A276" s="378" t="s">
        <v>595</v>
      </c>
      <c r="B276" s="493"/>
      <c r="C276" s="423">
        <v>3299</v>
      </c>
      <c r="D276" s="393" t="s">
        <v>229</v>
      </c>
      <c r="E276" s="384">
        <v>2000</v>
      </c>
      <c r="F276" s="384">
        <v>2000</v>
      </c>
      <c r="G276" s="386">
        <f>F276/7.5345</f>
        <v>265.44561682925212</v>
      </c>
      <c r="H276" s="386">
        <v>1000</v>
      </c>
      <c r="I276" s="386">
        <v>1000</v>
      </c>
      <c r="J276" s="386">
        <v>1000</v>
      </c>
      <c r="K276" s="386">
        <v>1000</v>
      </c>
      <c r="L276" s="578">
        <f>K276*7.5345</f>
        <v>7534.5</v>
      </c>
      <c r="M276" s="408">
        <f t="shared" si="123"/>
        <v>100</v>
      </c>
      <c r="N276" s="426">
        <f t="shared" si="123"/>
        <v>100</v>
      </c>
    </row>
    <row r="277" spans="1:14" s="229" customFormat="1" ht="18.75" thickBot="1" x14ac:dyDescent="0.25">
      <c r="A277" s="956" t="s">
        <v>596</v>
      </c>
      <c r="B277" s="957"/>
      <c r="C277" s="957"/>
      <c r="D277" s="958"/>
      <c r="E277" s="591">
        <v>70000</v>
      </c>
      <c r="F277" s="591">
        <f t="shared" ref="F277:L277" si="126">SUM(F280)</f>
        <v>45000</v>
      </c>
      <c r="G277" s="591">
        <f t="shared" si="126"/>
        <v>5972.5263786581727</v>
      </c>
      <c r="H277" s="591">
        <f t="shared" si="126"/>
        <v>23000</v>
      </c>
      <c r="I277" s="591">
        <f t="shared" si="126"/>
        <v>23000</v>
      </c>
      <c r="J277" s="591">
        <f t="shared" si="126"/>
        <v>13000</v>
      </c>
      <c r="K277" s="591">
        <f t="shared" si="126"/>
        <v>13000</v>
      </c>
      <c r="L277" s="596">
        <f t="shared" si="126"/>
        <v>97948.5</v>
      </c>
      <c r="M277" s="598">
        <f t="shared" si="123"/>
        <v>56.521739130434781</v>
      </c>
      <c r="N277" s="599">
        <f t="shared" si="123"/>
        <v>100</v>
      </c>
    </row>
    <row r="278" spans="1:14" s="116" customFormat="1" ht="15.75" x14ac:dyDescent="0.25">
      <c r="A278" s="425"/>
      <c r="B278" s="42"/>
      <c r="C278" s="42"/>
      <c r="D278" s="420" t="s">
        <v>232</v>
      </c>
      <c r="E278" s="396"/>
      <c r="F278" s="395"/>
      <c r="G278" s="395"/>
      <c r="H278" s="395"/>
      <c r="I278" s="395"/>
      <c r="J278" s="395"/>
      <c r="K278" s="395"/>
      <c r="L278" s="575"/>
      <c r="M278" s="964">
        <f>AVERAGE(J280/I280*100)</f>
        <v>56.521739130434781</v>
      </c>
      <c r="N278" s="962">
        <f>AVERAGE(K280/J280*100)</f>
        <v>100</v>
      </c>
    </row>
    <row r="279" spans="1:14" s="29" customFormat="1" ht="14.25" x14ac:dyDescent="0.2">
      <c r="A279" s="425"/>
      <c r="B279" s="42"/>
      <c r="C279" s="42"/>
      <c r="D279" s="421" t="s">
        <v>498</v>
      </c>
      <c r="E279" s="386"/>
      <c r="F279" s="395"/>
      <c r="G279" s="395"/>
      <c r="H279" s="395"/>
      <c r="I279" s="395"/>
      <c r="J279" s="395"/>
      <c r="K279" s="395"/>
      <c r="L279" s="575"/>
      <c r="M279" s="965"/>
      <c r="N279" s="963"/>
    </row>
    <row r="280" spans="1:14" ht="15.75" x14ac:dyDescent="0.25">
      <c r="A280" s="457"/>
      <c r="B280" s="116"/>
      <c r="C280" s="116"/>
      <c r="D280" s="721" t="s">
        <v>606</v>
      </c>
      <c r="E280" s="458">
        <v>70000</v>
      </c>
      <c r="F280" s="456">
        <f t="shared" ref="F280:L280" si="127">SUM(F281)</f>
        <v>45000</v>
      </c>
      <c r="G280" s="456">
        <f t="shared" si="127"/>
        <v>5972.5263786581727</v>
      </c>
      <c r="H280" s="456">
        <f t="shared" si="127"/>
        <v>23000</v>
      </c>
      <c r="I280" s="456">
        <f t="shared" si="127"/>
        <v>23000</v>
      </c>
      <c r="J280" s="456">
        <f t="shared" si="127"/>
        <v>13000</v>
      </c>
      <c r="K280" s="456">
        <f t="shared" si="127"/>
        <v>13000</v>
      </c>
      <c r="L280" s="576">
        <f t="shared" si="127"/>
        <v>97948.5</v>
      </c>
      <c r="M280" s="965"/>
      <c r="N280" s="963"/>
    </row>
    <row r="281" spans="1:14" ht="15" x14ac:dyDescent="0.25">
      <c r="A281" s="381" t="s">
        <v>423</v>
      </c>
      <c r="B281" s="487"/>
      <c r="C281" s="377">
        <v>38</v>
      </c>
      <c r="D281" s="388" t="s">
        <v>80</v>
      </c>
      <c r="E281" s="385">
        <v>70000</v>
      </c>
      <c r="F281" s="385">
        <f t="shared" ref="F281:K281" si="128">SUM(F282+F284)</f>
        <v>45000</v>
      </c>
      <c r="G281" s="385">
        <f t="shared" si="128"/>
        <v>5972.5263786581727</v>
      </c>
      <c r="H281" s="385">
        <f>SUM(H282+H284)</f>
        <v>23000</v>
      </c>
      <c r="I281" s="385">
        <f t="shared" si="128"/>
        <v>23000</v>
      </c>
      <c r="J281" s="385">
        <f t="shared" si="128"/>
        <v>13000</v>
      </c>
      <c r="K281" s="385">
        <f t="shared" si="128"/>
        <v>13000</v>
      </c>
      <c r="L281" s="579">
        <f>SUM(L282+L284)</f>
        <v>97948.5</v>
      </c>
      <c r="M281" s="408">
        <f t="shared" ref="M281:N286" si="129">AVERAGE(J281/I281*100)</f>
        <v>56.521739130434781</v>
      </c>
      <c r="N281" s="426">
        <f t="shared" si="129"/>
        <v>100</v>
      </c>
    </row>
    <row r="282" spans="1:14" ht="14.25" x14ac:dyDescent="0.2">
      <c r="A282" s="378" t="s">
        <v>423</v>
      </c>
      <c r="B282" s="486"/>
      <c r="C282" s="390">
        <v>381</v>
      </c>
      <c r="D282" s="391" t="s">
        <v>37</v>
      </c>
      <c r="E282" s="386">
        <v>50000</v>
      </c>
      <c r="F282" s="386">
        <f t="shared" ref="F282:L282" si="130">SUM(F283)</f>
        <v>20000</v>
      </c>
      <c r="G282" s="386">
        <f t="shared" si="130"/>
        <v>2654.4561682925209</v>
      </c>
      <c r="H282" s="386">
        <f t="shared" si="130"/>
        <v>3000</v>
      </c>
      <c r="I282" s="386">
        <f t="shared" si="130"/>
        <v>3000</v>
      </c>
      <c r="J282" s="386">
        <f t="shared" si="130"/>
        <v>3000</v>
      </c>
      <c r="K282" s="386">
        <f t="shared" si="130"/>
        <v>3000</v>
      </c>
      <c r="L282" s="578">
        <f t="shared" si="130"/>
        <v>22603.5</v>
      </c>
      <c r="M282" s="408">
        <f t="shared" si="129"/>
        <v>100</v>
      </c>
      <c r="N282" s="426">
        <f t="shared" si="129"/>
        <v>100</v>
      </c>
    </row>
    <row r="283" spans="1:14" s="414" customFormat="1" ht="15" thickBot="1" x14ac:dyDescent="0.25">
      <c r="A283" s="378" t="s">
        <v>423</v>
      </c>
      <c r="B283" s="486"/>
      <c r="C283" s="390">
        <v>3811</v>
      </c>
      <c r="D283" s="391" t="s">
        <v>82</v>
      </c>
      <c r="E283" s="386">
        <v>50000</v>
      </c>
      <c r="F283" s="386">
        <v>20000</v>
      </c>
      <c r="G283" s="386">
        <f>F283/7.5345</f>
        <v>2654.4561682925209</v>
      </c>
      <c r="H283" s="386">
        <v>3000</v>
      </c>
      <c r="I283" s="386">
        <v>3000</v>
      </c>
      <c r="J283" s="386">
        <v>3000</v>
      </c>
      <c r="K283" s="386">
        <v>3000</v>
      </c>
      <c r="L283" s="578">
        <f>K283*7.5345</f>
        <v>22603.5</v>
      </c>
      <c r="M283" s="408">
        <f t="shared" si="129"/>
        <v>100</v>
      </c>
      <c r="N283" s="426">
        <f t="shared" si="129"/>
        <v>100</v>
      </c>
    </row>
    <row r="284" spans="1:14" s="116" customFormat="1" ht="16.5" thickTop="1" x14ac:dyDescent="0.25">
      <c r="A284" s="378" t="s">
        <v>423</v>
      </c>
      <c r="B284" s="486"/>
      <c r="C284" s="390">
        <v>382</v>
      </c>
      <c r="D284" s="391" t="s">
        <v>38</v>
      </c>
      <c r="E284" s="386">
        <v>20000</v>
      </c>
      <c r="F284" s="386">
        <f t="shared" ref="F284:L284" si="131">SUM(F285)</f>
        <v>25000</v>
      </c>
      <c r="G284" s="386">
        <f t="shared" si="131"/>
        <v>3318.0702103656513</v>
      </c>
      <c r="H284" s="386">
        <f t="shared" si="131"/>
        <v>20000</v>
      </c>
      <c r="I284" s="386">
        <f t="shared" si="131"/>
        <v>20000</v>
      </c>
      <c r="J284" s="386">
        <f t="shared" si="131"/>
        <v>10000</v>
      </c>
      <c r="K284" s="386">
        <f t="shared" si="131"/>
        <v>10000</v>
      </c>
      <c r="L284" s="578">
        <f t="shared" si="131"/>
        <v>75345</v>
      </c>
      <c r="M284" s="408">
        <f t="shared" si="129"/>
        <v>50</v>
      </c>
      <c r="N284" s="426">
        <f t="shared" si="129"/>
        <v>100</v>
      </c>
    </row>
    <row r="285" spans="1:14" s="29" customFormat="1" ht="15" thickBot="1" x14ac:dyDescent="0.25">
      <c r="A285" s="378" t="s">
        <v>423</v>
      </c>
      <c r="B285" s="493"/>
      <c r="C285" s="423">
        <v>3821</v>
      </c>
      <c r="D285" s="393" t="s">
        <v>233</v>
      </c>
      <c r="E285" s="384">
        <v>20000</v>
      </c>
      <c r="F285" s="384">
        <v>25000</v>
      </c>
      <c r="G285" s="386">
        <f>F285/7.5345</f>
        <v>3318.0702103656513</v>
      </c>
      <c r="H285" s="386">
        <v>20000</v>
      </c>
      <c r="I285" s="386">
        <v>20000</v>
      </c>
      <c r="J285" s="386">
        <v>10000</v>
      </c>
      <c r="K285" s="386">
        <v>10000</v>
      </c>
      <c r="L285" s="578">
        <f>K285*7.5345</f>
        <v>75345</v>
      </c>
      <c r="M285" s="408">
        <f t="shared" si="129"/>
        <v>50</v>
      </c>
      <c r="N285" s="426">
        <f t="shared" si="129"/>
        <v>100</v>
      </c>
    </row>
    <row r="286" spans="1:14" ht="18.75" thickBot="1" x14ac:dyDescent="0.25">
      <c r="A286" s="956" t="s">
        <v>597</v>
      </c>
      <c r="B286" s="957"/>
      <c r="C286" s="957"/>
      <c r="D286" s="958"/>
      <c r="E286" s="591">
        <f t="shared" ref="E286:L286" si="132">SUM(E289+E295)</f>
        <v>19000</v>
      </c>
      <c r="F286" s="591">
        <f t="shared" si="132"/>
        <v>28000</v>
      </c>
      <c r="G286" s="591">
        <f t="shared" si="132"/>
        <v>3716.2386356095294</v>
      </c>
      <c r="H286" s="591">
        <f t="shared" si="132"/>
        <v>4500</v>
      </c>
      <c r="I286" s="591">
        <f t="shared" si="132"/>
        <v>4500</v>
      </c>
      <c r="J286" s="591">
        <f t="shared" si="132"/>
        <v>4500</v>
      </c>
      <c r="K286" s="591">
        <f t="shared" si="132"/>
        <v>4500</v>
      </c>
      <c r="L286" s="596">
        <f t="shared" si="132"/>
        <v>33905.25</v>
      </c>
      <c r="M286" s="598">
        <f t="shared" si="129"/>
        <v>100</v>
      </c>
      <c r="N286" s="599">
        <f t="shared" si="129"/>
        <v>100</v>
      </c>
    </row>
    <row r="287" spans="1:14" ht="14.25" x14ac:dyDescent="0.2">
      <c r="A287" s="425"/>
      <c r="B287" s="42"/>
      <c r="C287" s="42"/>
      <c r="D287" s="420" t="s">
        <v>176</v>
      </c>
      <c r="E287" s="396"/>
      <c r="F287" s="395"/>
      <c r="G287" s="395"/>
      <c r="H287" s="395"/>
      <c r="I287" s="395"/>
      <c r="J287" s="395"/>
      <c r="K287" s="395"/>
      <c r="L287" s="575"/>
      <c r="M287" s="964">
        <f>AVERAGE(J289/I289*100)</f>
        <v>100</v>
      </c>
      <c r="N287" s="962">
        <f>AVERAGE(K289/J289*100)</f>
        <v>100</v>
      </c>
    </row>
    <row r="288" spans="1:14" s="29" customFormat="1" ht="14.25" x14ac:dyDescent="0.2">
      <c r="A288" s="425"/>
      <c r="B288" s="42"/>
      <c r="C288" s="42"/>
      <c r="D288" s="419" t="s">
        <v>498</v>
      </c>
      <c r="E288" s="386"/>
      <c r="F288" s="395"/>
      <c r="G288" s="395"/>
      <c r="H288" s="395"/>
      <c r="I288" s="395"/>
      <c r="J288" s="395"/>
      <c r="K288" s="395"/>
      <c r="L288" s="575"/>
      <c r="M288" s="965"/>
      <c r="N288" s="963"/>
    </row>
    <row r="289" spans="1:14" ht="15.75" x14ac:dyDescent="0.25">
      <c r="A289" s="457"/>
      <c r="B289" s="116"/>
      <c r="C289" s="116"/>
      <c r="D289" s="454" t="s">
        <v>604</v>
      </c>
      <c r="E289" s="458">
        <v>13000</v>
      </c>
      <c r="F289" s="456">
        <f t="shared" ref="F289:L291" si="133">SUM(F290)</f>
        <v>13000</v>
      </c>
      <c r="G289" s="456">
        <f t="shared" si="133"/>
        <v>1725.3965093901386</v>
      </c>
      <c r="H289" s="456">
        <f t="shared" si="133"/>
        <v>1500</v>
      </c>
      <c r="I289" s="456">
        <f t="shared" si="133"/>
        <v>1500</v>
      </c>
      <c r="J289" s="456">
        <f t="shared" si="133"/>
        <v>1500</v>
      </c>
      <c r="K289" s="456">
        <f t="shared" si="133"/>
        <v>1500</v>
      </c>
      <c r="L289" s="576">
        <f t="shared" si="133"/>
        <v>11301.75</v>
      </c>
      <c r="M289" s="965"/>
      <c r="N289" s="963"/>
    </row>
    <row r="290" spans="1:14" ht="14.45" customHeight="1" x14ac:dyDescent="0.25">
      <c r="A290" s="381" t="s">
        <v>562</v>
      </c>
      <c r="B290" s="387"/>
      <c r="C290" s="377">
        <v>38</v>
      </c>
      <c r="D290" s="388" t="s">
        <v>80</v>
      </c>
      <c r="E290" s="385">
        <v>13000</v>
      </c>
      <c r="F290" s="385">
        <f t="shared" si="133"/>
        <v>13000</v>
      </c>
      <c r="G290" s="385">
        <f t="shared" si="133"/>
        <v>1725.3965093901386</v>
      </c>
      <c r="H290" s="385">
        <f t="shared" si="133"/>
        <v>1500</v>
      </c>
      <c r="I290" s="385">
        <f t="shared" si="133"/>
        <v>1500</v>
      </c>
      <c r="J290" s="385">
        <f t="shared" si="133"/>
        <v>1500</v>
      </c>
      <c r="K290" s="385">
        <f t="shared" si="133"/>
        <v>1500</v>
      </c>
      <c r="L290" s="579">
        <f t="shared" si="133"/>
        <v>11301.75</v>
      </c>
      <c r="M290" s="408">
        <f t="shared" ref="M290:N292" si="134">AVERAGE(J290/I290*100)</f>
        <v>100</v>
      </c>
      <c r="N290" s="426">
        <f t="shared" si="134"/>
        <v>100</v>
      </c>
    </row>
    <row r="291" spans="1:14" s="446" customFormat="1" ht="18" customHeight="1" x14ac:dyDescent="0.25">
      <c r="A291" s="378" t="s">
        <v>562</v>
      </c>
      <c r="B291" s="486"/>
      <c r="C291" s="390">
        <v>381</v>
      </c>
      <c r="D291" s="391" t="s">
        <v>37</v>
      </c>
      <c r="E291" s="386">
        <v>13000</v>
      </c>
      <c r="F291" s="386">
        <f t="shared" si="133"/>
        <v>13000</v>
      </c>
      <c r="G291" s="386">
        <f t="shared" si="133"/>
        <v>1725.3965093901386</v>
      </c>
      <c r="H291" s="386">
        <f t="shared" si="133"/>
        <v>1500</v>
      </c>
      <c r="I291" s="386">
        <f t="shared" si="133"/>
        <v>1500</v>
      </c>
      <c r="J291" s="386">
        <f t="shared" si="133"/>
        <v>1500</v>
      </c>
      <c r="K291" s="386">
        <f t="shared" si="133"/>
        <v>1500</v>
      </c>
      <c r="L291" s="578">
        <f t="shared" si="133"/>
        <v>11301.75</v>
      </c>
      <c r="M291" s="408">
        <f t="shared" si="134"/>
        <v>100</v>
      </c>
      <c r="N291" s="426">
        <f t="shared" si="134"/>
        <v>100</v>
      </c>
    </row>
    <row r="292" spans="1:14" ht="15" customHeight="1" thickBot="1" x14ac:dyDescent="0.25">
      <c r="A292" s="431" t="s">
        <v>562</v>
      </c>
      <c r="B292" s="488"/>
      <c r="C292" s="410">
        <v>3811</v>
      </c>
      <c r="D292" s="411" t="s">
        <v>394</v>
      </c>
      <c r="E292" s="412">
        <v>13000</v>
      </c>
      <c r="F292" s="412">
        <v>13000</v>
      </c>
      <c r="G292" s="412">
        <f>F292/7.5345</f>
        <v>1725.3965093901386</v>
      </c>
      <c r="H292" s="412">
        <v>1500</v>
      </c>
      <c r="I292" s="412">
        <v>1500</v>
      </c>
      <c r="J292" s="412">
        <v>1500</v>
      </c>
      <c r="K292" s="412">
        <v>1500</v>
      </c>
      <c r="L292" s="580">
        <f>K292*7.5345</f>
        <v>11301.75</v>
      </c>
      <c r="M292" s="477">
        <f t="shared" si="134"/>
        <v>100</v>
      </c>
      <c r="N292" s="478">
        <f t="shared" si="134"/>
        <v>100</v>
      </c>
    </row>
    <row r="293" spans="1:14" s="229" customFormat="1" ht="15" thickTop="1" x14ac:dyDescent="0.2">
      <c r="A293" s="425"/>
      <c r="B293" s="491"/>
      <c r="C293" s="42"/>
      <c r="D293" s="420" t="s">
        <v>176</v>
      </c>
      <c r="E293" s="396"/>
      <c r="F293" s="395"/>
      <c r="G293" s="395"/>
      <c r="H293" s="395"/>
      <c r="I293" s="395"/>
      <c r="J293" s="395"/>
      <c r="K293" s="395"/>
      <c r="L293" s="575"/>
      <c r="M293" s="964">
        <f>AVERAGE(J295/I295*100)</f>
        <v>100</v>
      </c>
      <c r="N293" s="962">
        <f>AVERAGE(K295/J295*100)</f>
        <v>100</v>
      </c>
    </row>
    <row r="294" spans="1:14" s="116" customFormat="1" ht="15.75" x14ac:dyDescent="0.25">
      <c r="A294" s="425"/>
      <c r="B294" s="491"/>
      <c r="C294" s="42"/>
      <c r="D294" s="419" t="s">
        <v>498</v>
      </c>
      <c r="E294" s="386"/>
      <c r="F294" s="395"/>
      <c r="G294" s="395"/>
      <c r="H294" s="395"/>
      <c r="I294" s="395"/>
      <c r="J294" s="395"/>
      <c r="K294" s="395"/>
      <c r="L294" s="575"/>
      <c r="M294" s="965"/>
      <c r="N294" s="963"/>
    </row>
    <row r="295" spans="1:14" s="29" customFormat="1" ht="15.75" x14ac:dyDescent="0.25">
      <c r="A295" s="457"/>
      <c r="B295" s="492"/>
      <c r="C295" s="116"/>
      <c r="D295" s="463" t="s">
        <v>605</v>
      </c>
      <c r="E295" s="458">
        <v>6000</v>
      </c>
      <c r="F295" s="456">
        <f t="shared" ref="F295:L297" si="135">SUM(F296)</f>
        <v>15000</v>
      </c>
      <c r="G295" s="456">
        <f t="shared" si="135"/>
        <v>1990.8421262193906</v>
      </c>
      <c r="H295" s="456">
        <f t="shared" si="135"/>
        <v>3000</v>
      </c>
      <c r="I295" s="456">
        <f t="shared" si="135"/>
        <v>3000</v>
      </c>
      <c r="J295" s="456">
        <f t="shared" si="135"/>
        <v>3000</v>
      </c>
      <c r="K295" s="456">
        <f t="shared" si="135"/>
        <v>3000</v>
      </c>
      <c r="L295" s="576">
        <f t="shared" si="135"/>
        <v>22603.5</v>
      </c>
      <c r="M295" s="965"/>
      <c r="N295" s="963"/>
    </row>
    <row r="296" spans="1:14" ht="15" x14ac:dyDescent="0.25">
      <c r="A296" s="381" t="s">
        <v>563</v>
      </c>
      <c r="B296" s="487"/>
      <c r="C296" s="377">
        <v>38</v>
      </c>
      <c r="D296" s="388" t="s">
        <v>80</v>
      </c>
      <c r="E296" s="385">
        <v>6000</v>
      </c>
      <c r="F296" s="385">
        <f t="shared" si="135"/>
        <v>15000</v>
      </c>
      <c r="G296" s="385">
        <f t="shared" si="135"/>
        <v>1990.8421262193906</v>
      </c>
      <c r="H296" s="385">
        <f t="shared" si="135"/>
        <v>3000</v>
      </c>
      <c r="I296" s="385">
        <f t="shared" si="135"/>
        <v>3000</v>
      </c>
      <c r="J296" s="385">
        <f t="shared" si="135"/>
        <v>3000</v>
      </c>
      <c r="K296" s="385">
        <f t="shared" si="135"/>
        <v>3000</v>
      </c>
      <c r="L296" s="579">
        <f t="shared" si="135"/>
        <v>22603.5</v>
      </c>
      <c r="M296" s="408">
        <f t="shared" ref="M296:N299" si="136">AVERAGE(J296/I296*100)</f>
        <v>100</v>
      </c>
      <c r="N296" s="426">
        <f t="shared" si="136"/>
        <v>100</v>
      </c>
    </row>
    <row r="297" spans="1:14" ht="14.25" x14ac:dyDescent="0.2">
      <c r="A297" s="378" t="s">
        <v>563</v>
      </c>
      <c r="B297" s="486"/>
      <c r="C297" s="390">
        <v>381</v>
      </c>
      <c r="D297" s="391" t="s">
        <v>37</v>
      </c>
      <c r="E297" s="386">
        <v>6000</v>
      </c>
      <c r="F297" s="386">
        <f t="shared" si="135"/>
        <v>15000</v>
      </c>
      <c r="G297" s="386">
        <f t="shared" si="135"/>
        <v>1990.8421262193906</v>
      </c>
      <c r="H297" s="386">
        <f t="shared" si="135"/>
        <v>3000</v>
      </c>
      <c r="I297" s="386">
        <f t="shared" si="135"/>
        <v>3000</v>
      </c>
      <c r="J297" s="386">
        <f t="shared" si="135"/>
        <v>3000</v>
      </c>
      <c r="K297" s="386">
        <f t="shared" si="135"/>
        <v>3000</v>
      </c>
      <c r="L297" s="578">
        <f t="shared" si="135"/>
        <v>22603.5</v>
      </c>
      <c r="M297" s="408">
        <f t="shared" si="136"/>
        <v>100</v>
      </c>
      <c r="N297" s="426">
        <f t="shared" si="136"/>
        <v>100</v>
      </c>
    </row>
    <row r="298" spans="1:14" s="414" customFormat="1" ht="15" thickBot="1" x14ac:dyDescent="0.25">
      <c r="A298" s="378" t="s">
        <v>563</v>
      </c>
      <c r="B298" s="493"/>
      <c r="C298" s="423">
        <v>3811</v>
      </c>
      <c r="D298" s="393" t="s">
        <v>226</v>
      </c>
      <c r="E298" s="384">
        <v>6000</v>
      </c>
      <c r="F298" s="384">
        <v>15000</v>
      </c>
      <c r="G298" s="386">
        <f>F298/7.5345</f>
        <v>1990.8421262193906</v>
      </c>
      <c r="H298" s="386">
        <v>3000</v>
      </c>
      <c r="I298" s="386">
        <v>3000</v>
      </c>
      <c r="J298" s="386">
        <v>3000</v>
      </c>
      <c r="K298" s="386">
        <v>3000</v>
      </c>
      <c r="L298" s="578">
        <f>K298*7.5345</f>
        <v>22603.5</v>
      </c>
      <c r="M298" s="408">
        <f t="shared" si="136"/>
        <v>100</v>
      </c>
      <c r="N298" s="426">
        <f t="shared" si="136"/>
        <v>100</v>
      </c>
    </row>
    <row r="299" spans="1:14" s="116" customFormat="1" ht="19.5" thickTop="1" thickBot="1" x14ac:dyDescent="0.3">
      <c r="A299" s="956" t="s">
        <v>598</v>
      </c>
      <c r="B299" s="957"/>
      <c r="C299" s="957"/>
      <c r="D299" s="958"/>
      <c r="E299" s="591">
        <v>40000</v>
      </c>
      <c r="F299" s="591">
        <f t="shared" ref="F299:L299" si="137">SUM(F302+F308)</f>
        <v>240000</v>
      </c>
      <c r="G299" s="591">
        <f t="shared" si="137"/>
        <v>31853.474019510253</v>
      </c>
      <c r="H299" s="591">
        <f t="shared" si="137"/>
        <v>33000</v>
      </c>
      <c r="I299" s="591">
        <f t="shared" si="137"/>
        <v>37500</v>
      </c>
      <c r="J299" s="591">
        <f t="shared" si="137"/>
        <v>42000</v>
      </c>
      <c r="K299" s="591">
        <f t="shared" si="137"/>
        <v>42000</v>
      </c>
      <c r="L299" s="596">
        <f t="shared" si="137"/>
        <v>316449</v>
      </c>
      <c r="M299" s="598">
        <f t="shared" si="136"/>
        <v>112.00000000000001</v>
      </c>
      <c r="N299" s="599">
        <f t="shared" si="136"/>
        <v>100</v>
      </c>
    </row>
    <row r="300" spans="1:14" s="29" customFormat="1" ht="14.25" x14ac:dyDescent="0.2">
      <c r="A300" s="425"/>
      <c r="B300" s="42"/>
      <c r="C300" s="42"/>
      <c r="D300" s="420" t="s">
        <v>238</v>
      </c>
      <c r="E300" s="396"/>
      <c r="F300" s="395"/>
      <c r="G300" s="395"/>
      <c r="H300" s="395"/>
      <c r="I300" s="395"/>
      <c r="J300" s="395"/>
      <c r="K300" s="395"/>
      <c r="L300" s="575"/>
      <c r="M300" s="964">
        <f>AVERAGE(J302/I302*100)</f>
        <v>114.28571428571428</v>
      </c>
      <c r="N300" s="962">
        <f>AVERAGE(K302/J302*100)</f>
        <v>100</v>
      </c>
    </row>
    <row r="301" spans="1:14" ht="14.25" x14ac:dyDescent="0.2">
      <c r="A301" s="425"/>
      <c r="B301" s="42"/>
      <c r="C301" s="42"/>
      <c r="D301" s="419" t="s">
        <v>505</v>
      </c>
      <c r="E301" s="386"/>
      <c r="F301" s="395"/>
      <c r="G301" s="395"/>
      <c r="H301" s="395"/>
      <c r="I301" s="395"/>
      <c r="J301" s="395"/>
      <c r="K301" s="395"/>
      <c r="L301" s="575"/>
      <c r="M301" s="965"/>
      <c r="N301" s="963"/>
    </row>
    <row r="302" spans="1:14" ht="15.75" x14ac:dyDescent="0.25">
      <c r="A302" s="457"/>
      <c r="B302" s="492"/>
      <c r="C302" s="116"/>
      <c r="D302" s="463" t="s">
        <v>602</v>
      </c>
      <c r="E302" s="458">
        <v>40000</v>
      </c>
      <c r="F302" s="456">
        <f t="shared" ref="F302:L304" si="138">SUM(F303)</f>
        <v>140000</v>
      </c>
      <c r="G302" s="456">
        <f t="shared" si="138"/>
        <v>18581.193178047648</v>
      </c>
      <c r="H302" s="456">
        <f t="shared" si="138"/>
        <v>20000</v>
      </c>
      <c r="I302" s="456">
        <f t="shared" si="138"/>
        <v>35000</v>
      </c>
      <c r="J302" s="456">
        <f t="shared" si="138"/>
        <v>40000</v>
      </c>
      <c r="K302" s="456">
        <f t="shared" si="138"/>
        <v>40000</v>
      </c>
      <c r="L302" s="576">
        <f t="shared" si="138"/>
        <v>301380</v>
      </c>
      <c r="M302" s="965"/>
      <c r="N302" s="963"/>
    </row>
    <row r="303" spans="1:14" ht="15" x14ac:dyDescent="0.25">
      <c r="A303" s="381" t="s">
        <v>564</v>
      </c>
      <c r="B303" s="487"/>
      <c r="C303" s="377">
        <v>32</v>
      </c>
      <c r="D303" s="388" t="s">
        <v>178</v>
      </c>
      <c r="E303" s="385">
        <v>40000</v>
      </c>
      <c r="F303" s="385">
        <f t="shared" si="138"/>
        <v>140000</v>
      </c>
      <c r="G303" s="385">
        <f t="shared" si="138"/>
        <v>18581.193178047648</v>
      </c>
      <c r="H303" s="385">
        <f t="shared" si="138"/>
        <v>20000</v>
      </c>
      <c r="I303" s="385">
        <f t="shared" si="138"/>
        <v>35000</v>
      </c>
      <c r="J303" s="385">
        <f t="shared" si="138"/>
        <v>40000</v>
      </c>
      <c r="K303" s="385">
        <f t="shared" si="138"/>
        <v>40000</v>
      </c>
      <c r="L303" s="579">
        <f t="shared" si="138"/>
        <v>301380</v>
      </c>
      <c r="M303" s="408">
        <f t="shared" ref="M303:N305" si="139">AVERAGE(J303/I303*100)</f>
        <v>114.28571428571428</v>
      </c>
      <c r="N303" s="426">
        <f t="shared" si="139"/>
        <v>100</v>
      </c>
    </row>
    <row r="304" spans="1:14" s="29" customFormat="1" ht="14.25" x14ac:dyDescent="0.2">
      <c r="A304" s="378" t="s">
        <v>564</v>
      </c>
      <c r="B304" s="486"/>
      <c r="C304" s="390">
        <v>323</v>
      </c>
      <c r="D304" s="391" t="s">
        <v>56</v>
      </c>
      <c r="E304" s="386">
        <v>40000</v>
      </c>
      <c r="F304" s="386">
        <f t="shared" si="138"/>
        <v>140000</v>
      </c>
      <c r="G304" s="386">
        <f t="shared" si="138"/>
        <v>18581.193178047648</v>
      </c>
      <c r="H304" s="386">
        <f t="shared" si="138"/>
        <v>20000</v>
      </c>
      <c r="I304" s="386">
        <f t="shared" si="138"/>
        <v>35000</v>
      </c>
      <c r="J304" s="386">
        <f t="shared" si="138"/>
        <v>40000</v>
      </c>
      <c r="K304" s="386">
        <f t="shared" si="138"/>
        <v>40000</v>
      </c>
      <c r="L304" s="578">
        <f t="shared" si="138"/>
        <v>301380</v>
      </c>
      <c r="M304" s="408">
        <f t="shared" si="139"/>
        <v>114.28571428571428</v>
      </c>
      <c r="N304" s="426">
        <f t="shared" si="139"/>
        <v>100</v>
      </c>
    </row>
    <row r="305" spans="1:14" s="414" customFormat="1" ht="15" thickBot="1" x14ac:dyDescent="0.25">
      <c r="A305" s="431" t="s">
        <v>564</v>
      </c>
      <c r="B305" s="488"/>
      <c r="C305" s="410">
        <v>3234</v>
      </c>
      <c r="D305" s="411" t="s">
        <v>60</v>
      </c>
      <c r="E305" s="412">
        <v>40000</v>
      </c>
      <c r="F305" s="412">
        <v>140000</v>
      </c>
      <c r="G305" s="412">
        <f>F305/7.5345</f>
        <v>18581.193178047648</v>
      </c>
      <c r="H305" s="412">
        <v>20000</v>
      </c>
      <c r="I305" s="412">
        <v>35000</v>
      </c>
      <c r="J305" s="412">
        <v>40000</v>
      </c>
      <c r="K305" s="412">
        <v>40000</v>
      </c>
      <c r="L305" s="580">
        <f>K305*7.5345</f>
        <v>301380</v>
      </c>
      <c r="M305" s="477">
        <f t="shared" si="139"/>
        <v>114.28571428571428</v>
      </c>
      <c r="N305" s="478">
        <f t="shared" si="139"/>
        <v>100</v>
      </c>
    </row>
    <row r="306" spans="1:14" ht="15" thickTop="1" x14ac:dyDescent="0.2">
      <c r="A306" s="425"/>
      <c r="B306" s="491"/>
      <c r="C306" s="42"/>
      <c r="D306" s="420" t="s">
        <v>238</v>
      </c>
      <c r="E306" s="396"/>
      <c r="F306" s="395"/>
      <c r="G306" s="395"/>
      <c r="H306" s="395"/>
      <c r="I306" s="395"/>
      <c r="J306" s="395"/>
      <c r="K306" s="395"/>
      <c r="L306" s="575"/>
      <c r="M306" s="964">
        <f>AVERAGE(J308/I308*100)</f>
        <v>80</v>
      </c>
      <c r="N306" s="962">
        <f>AVERAGE(K308/J308*100)</f>
        <v>100</v>
      </c>
    </row>
    <row r="307" spans="1:14" ht="14.25" x14ac:dyDescent="0.2">
      <c r="A307" s="425"/>
      <c r="B307" s="491"/>
      <c r="C307" s="42"/>
      <c r="D307" s="419" t="s">
        <v>505</v>
      </c>
      <c r="E307" s="386"/>
      <c r="F307" s="395"/>
      <c r="G307" s="395"/>
      <c r="H307" s="395"/>
      <c r="I307" s="395"/>
      <c r="J307" s="395"/>
      <c r="K307" s="395"/>
      <c r="L307" s="575"/>
      <c r="M307" s="965"/>
      <c r="N307" s="963"/>
    </row>
    <row r="308" spans="1:14" ht="31.5" x14ac:dyDescent="0.25">
      <c r="A308" s="457"/>
      <c r="B308" s="492"/>
      <c r="C308" s="116"/>
      <c r="D308" s="463" t="s">
        <v>603</v>
      </c>
      <c r="E308" s="458">
        <v>0</v>
      </c>
      <c r="F308" s="456">
        <f t="shared" ref="F308:L308" si="140">SUM(F309)</f>
        <v>100000</v>
      </c>
      <c r="G308" s="456">
        <f t="shared" si="140"/>
        <v>13272.280841462605</v>
      </c>
      <c r="H308" s="706">
        <f t="shared" si="140"/>
        <v>13000</v>
      </c>
      <c r="I308" s="706">
        <f t="shared" si="140"/>
        <v>2500</v>
      </c>
      <c r="J308" s="706">
        <f t="shared" si="140"/>
        <v>2000</v>
      </c>
      <c r="K308" s="706">
        <f t="shared" si="140"/>
        <v>2000</v>
      </c>
      <c r="L308" s="576">
        <f t="shared" si="140"/>
        <v>15069</v>
      </c>
      <c r="M308" s="965"/>
      <c r="N308" s="963"/>
    </row>
    <row r="309" spans="1:14" s="116" customFormat="1" ht="15.75" x14ac:dyDescent="0.25">
      <c r="A309" s="381" t="s">
        <v>424</v>
      </c>
      <c r="B309" s="487"/>
      <c r="C309" s="377">
        <v>32</v>
      </c>
      <c r="D309" s="388" t="s">
        <v>178</v>
      </c>
      <c r="E309" s="385">
        <v>0</v>
      </c>
      <c r="F309" s="385">
        <f t="shared" ref="F309:L309" si="141">SUM(F310)</f>
        <v>100000</v>
      </c>
      <c r="G309" s="385">
        <f t="shared" si="141"/>
        <v>13272.280841462605</v>
      </c>
      <c r="H309" s="385">
        <f t="shared" si="141"/>
        <v>13000</v>
      </c>
      <c r="I309" s="385">
        <f t="shared" si="141"/>
        <v>2500</v>
      </c>
      <c r="J309" s="385">
        <f t="shared" si="141"/>
        <v>2000</v>
      </c>
      <c r="K309" s="385">
        <f t="shared" si="141"/>
        <v>2000</v>
      </c>
      <c r="L309" s="579">
        <f t="shared" si="141"/>
        <v>15069</v>
      </c>
      <c r="M309" s="408">
        <f t="shared" ref="M309:N311" si="142">AVERAGE(J309/I309*100)</f>
        <v>80</v>
      </c>
      <c r="N309" s="426">
        <f t="shared" si="142"/>
        <v>100</v>
      </c>
    </row>
    <row r="310" spans="1:14" s="29" customFormat="1" ht="14.25" x14ac:dyDescent="0.2">
      <c r="A310" s="378" t="s">
        <v>424</v>
      </c>
      <c r="B310" s="486"/>
      <c r="C310" s="390">
        <v>322</v>
      </c>
      <c r="D310" s="391" t="s">
        <v>52</v>
      </c>
      <c r="E310" s="386">
        <v>0</v>
      </c>
      <c r="F310" s="386">
        <f t="shared" ref="F310:L310" si="143">SUM(F311)</f>
        <v>100000</v>
      </c>
      <c r="G310" s="386">
        <f t="shared" si="143"/>
        <v>13272.280841462605</v>
      </c>
      <c r="H310" s="386">
        <f t="shared" si="143"/>
        <v>13000</v>
      </c>
      <c r="I310" s="386">
        <f t="shared" si="143"/>
        <v>2500</v>
      </c>
      <c r="J310" s="386">
        <f t="shared" si="143"/>
        <v>2000</v>
      </c>
      <c r="K310" s="386">
        <f t="shared" si="143"/>
        <v>2000</v>
      </c>
      <c r="L310" s="578">
        <f t="shared" si="143"/>
        <v>15069</v>
      </c>
      <c r="M310" s="408">
        <f t="shared" si="142"/>
        <v>80</v>
      </c>
      <c r="N310" s="426">
        <f t="shared" si="142"/>
        <v>100</v>
      </c>
    </row>
    <row r="311" spans="1:14" ht="15" thickBot="1" x14ac:dyDescent="0.25">
      <c r="A311" s="378" t="s">
        <v>424</v>
      </c>
      <c r="B311" s="486"/>
      <c r="C311" s="390">
        <v>3225</v>
      </c>
      <c r="D311" s="391" t="s">
        <v>188</v>
      </c>
      <c r="E311" s="386">
        <v>0</v>
      </c>
      <c r="F311" s="386">
        <v>100000</v>
      </c>
      <c r="G311" s="386">
        <f>F311/7.5345</f>
        <v>13272.280841462605</v>
      </c>
      <c r="H311" s="386">
        <v>13000</v>
      </c>
      <c r="I311" s="386">
        <v>2500</v>
      </c>
      <c r="J311" s="386">
        <v>2000</v>
      </c>
      <c r="K311" s="386">
        <v>2000</v>
      </c>
      <c r="L311" s="578">
        <f>K311*7.5345</f>
        <v>15069</v>
      </c>
      <c r="M311" s="408">
        <f t="shared" si="142"/>
        <v>80</v>
      </c>
      <c r="N311" s="426">
        <f t="shared" si="142"/>
        <v>100</v>
      </c>
    </row>
    <row r="312" spans="1:14" ht="18.75" thickBot="1" x14ac:dyDescent="0.25">
      <c r="A312" s="956" t="s">
        <v>599</v>
      </c>
      <c r="B312" s="957"/>
      <c r="C312" s="957"/>
      <c r="D312" s="958"/>
      <c r="E312" s="591">
        <f>SUM(E315+E323+E333+E339+E345+E351+E357+E363)</f>
        <v>1830000</v>
      </c>
      <c r="F312" s="591" t="e">
        <f>SUM(F315+F323+F333+#REF!+#REF!+F339+F345+F351+F357+F363+F369+#REF!+F377+F387+#REF!)</f>
        <v>#REF!</v>
      </c>
      <c r="G312" s="591" t="e">
        <f>SUM(G315+G323+G333+#REF!+#REF!+G339+G345+G351+G357+G363+G369+#REF!+G377+G387+#REF!)</f>
        <v>#REF!</v>
      </c>
      <c r="H312" s="591">
        <f>SUM(H315+H323+H333+H339+H345+H351+H357+H363+H369+H377+H387)</f>
        <v>312700</v>
      </c>
      <c r="I312" s="591">
        <f t="shared" ref="I312:N312" si="144">SUM(I315+I323+I333+I339+I345+I351+I357+I363+I369+I377+I387)</f>
        <v>301000</v>
      </c>
      <c r="J312" s="591">
        <f t="shared" si="144"/>
        <v>345500</v>
      </c>
      <c r="K312" s="591">
        <f t="shared" si="144"/>
        <v>247500</v>
      </c>
      <c r="L312" s="591">
        <f t="shared" si="144"/>
        <v>1638753.75</v>
      </c>
      <c r="M312" s="591">
        <f t="shared" si="144"/>
        <v>0</v>
      </c>
      <c r="N312" s="591">
        <f t="shared" si="144"/>
        <v>0</v>
      </c>
    </row>
    <row r="313" spans="1:14" ht="28.5" x14ac:dyDescent="0.2">
      <c r="A313" s="425"/>
      <c r="B313" s="42"/>
      <c r="C313" s="42"/>
      <c r="D313" s="420" t="s">
        <v>400</v>
      </c>
      <c r="E313" s="396"/>
      <c r="F313" s="395"/>
      <c r="G313" s="395"/>
      <c r="H313" s="395"/>
      <c r="I313" s="395"/>
      <c r="J313" s="395"/>
      <c r="K313" s="395"/>
      <c r="L313" s="575"/>
      <c r="M313" s="964">
        <f>AVERAGE(J315/I315*100)</f>
        <v>110.71428571428572</v>
      </c>
      <c r="N313" s="962">
        <f>AVERAGE(K315/J315*100)</f>
        <v>103.2258064516129</v>
      </c>
    </row>
    <row r="314" spans="1:14" s="414" customFormat="1" ht="15" thickBot="1" x14ac:dyDescent="0.25">
      <c r="A314" s="425"/>
      <c r="B314" s="42"/>
      <c r="C314" s="42"/>
      <c r="D314" s="419" t="s">
        <v>498</v>
      </c>
      <c r="E314" s="386"/>
      <c r="F314" s="395"/>
      <c r="G314" s="395"/>
      <c r="H314" s="395"/>
      <c r="I314" s="395"/>
      <c r="J314" s="395"/>
      <c r="K314" s="395"/>
      <c r="L314" s="575"/>
      <c r="M314" s="965"/>
      <c r="N314" s="963"/>
    </row>
    <row r="315" spans="1:14" s="116" customFormat="1" ht="16.5" thickTop="1" x14ac:dyDescent="0.25">
      <c r="A315" s="457"/>
      <c r="D315" s="463" t="s">
        <v>624</v>
      </c>
      <c r="E315" s="458">
        <v>390000</v>
      </c>
      <c r="F315" s="456">
        <f t="shared" ref="F315:L315" si="145">SUM(F316)</f>
        <v>170000</v>
      </c>
      <c r="G315" s="456">
        <f t="shared" si="145"/>
        <v>22562.877430486427</v>
      </c>
      <c r="H315" s="456">
        <f t="shared" si="145"/>
        <v>24000</v>
      </c>
      <c r="I315" s="456">
        <f t="shared" si="145"/>
        <v>28000</v>
      </c>
      <c r="J315" s="456">
        <f t="shared" si="145"/>
        <v>31000</v>
      </c>
      <c r="K315" s="456">
        <f t="shared" si="145"/>
        <v>32000</v>
      </c>
      <c r="L315" s="576">
        <f t="shared" si="145"/>
        <v>241104</v>
      </c>
      <c r="M315" s="965"/>
      <c r="N315" s="963"/>
    </row>
    <row r="316" spans="1:14" s="29" customFormat="1" ht="15" x14ac:dyDescent="0.25">
      <c r="A316" s="381" t="s">
        <v>600</v>
      </c>
      <c r="B316" s="487"/>
      <c r="C316" s="377">
        <v>32</v>
      </c>
      <c r="D316" s="388" t="s">
        <v>178</v>
      </c>
      <c r="E316" s="385">
        <v>390000</v>
      </c>
      <c r="F316" s="385">
        <f t="shared" ref="F316:K316" si="146">SUM(F317+F319)</f>
        <v>170000</v>
      </c>
      <c r="G316" s="385">
        <f t="shared" si="146"/>
        <v>22562.877430486427</v>
      </c>
      <c r="H316" s="385">
        <f>SUM(H317+H319)</f>
        <v>24000</v>
      </c>
      <c r="I316" s="385">
        <f t="shared" si="146"/>
        <v>28000</v>
      </c>
      <c r="J316" s="385">
        <f t="shared" si="146"/>
        <v>31000</v>
      </c>
      <c r="K316" s="385">
        <f t="shared" si="146"/>
        <v>32000</v>
      </c>
      <c r="L316" s="579">
        <f>SUM(L317+L319)</f>
        <v>241104</v>
      </c>
      <c r="M316" s="408">
        <f t="shared" ref="M316:N320" si="147">AVERAGE(J316/I316*100)</f>
        <v>110.71428571428572</v>
      </c>
      <c r="N316" s="426">
        <f t="shared" si="147"/>
        <v>103.2258064516129</v>
      </c>
    </row>
    <row r="317" spans="1:14" ht="14.25" x14ac:dyDescent="0.2">
      <c r="A317" s="378" t="s">
        <v>600</v>
      </c>
      <c r="B317" s="486"/>
      <c r="C317" s="390">
        <v>322</v>
      </c>
      <c r="D317" s="391" t="s">
        <v>52</v>
      </c>
      <c r="E317" s="386">
        <v>250000</v>
      </c>
      <c r="F317" s="386">
        <f t="shared" ref="F317:L317" si="148">SUM(F318)</f>
        <v>120000</v>
      </c>
      <c r="G317" s="386">
        <f t="shared" si="148"/>
        <v>15926.737009755125</v>
      </c>
      <c r="H317" s="386">
        <f t="shared" si="148"/>
        <v>16000</v>
      </c>
      <c r="I317" s="386">
        <f t="shared" si="148"/>
        <v>20000</v>
      </c>
      <c r="J317" s="386">
        <f t="shared" si="148"/>
        <v>22000</v>
      </c>
      <c r="K317" s="386">
        <f t="shared" si="148"/>
        <v>22000</v>
      </c>
      <c r="L317" s="578">
        <f t="shared" si="148"/>
        <v>165759</v>
      </c>
      <c r="M317" s="408">
        <f t="shared" si="147"/>
        <v>110.00000000000001</v>
      </c>
      <c r="N317" s="426">
        <f t="shared" si="147"/>
        <v>100</v>
      </c>
    </row>
    <row r="318" spans="1:14" ht="14.25" x14ac:dyDescent="0.2">
      <c r="A318" s="378" t="s">
        <v>600</v>
      </c>
      <c r="B318" s="486"/>
      <c r="C318" s="390">
        <v>3223</v>
      </c>
      <c r="D318" s="391" t="s">
        <v>54</v>
      </c>
      <c r="E318" s="386">
        <v>250000</v>
      </c>
      <c r="F318" s="386">
        <v>120000</v>
      </c>
      <c r="G318" s="386">
        <f>F318/7.5345</f>
        <v>15926.737009755125</v>
      </c>
      <c r="H318" s="386">
        <v>16000</v>
      </c>
      <c r="I318" s="386">
        <v>20000</v>
      </c>
      <c r="J318" s="386">
        <v>22000</v>
      </c>
      <c r="K318" s="386">
        <v>22000</v>
      </c>
      <c r="L318" s="578">
        <f>K318*7.5345</f>
        <v>165759</v>
      </c>
      <c r="M318" s="408">
        <f t="shared" si="147"/>
        <v>110.00000000000001</v>
      </c>
      <c r="N318" s="426">
        <f t="shared" si="147"/>
        <v>100</v>
      </c>
    </row>
    <row r="319" spans="1:14" ht="14.25" x14ac:dyDescent="0.2">
      <c r="A319" s="378" t="s">
        <v>600</v>
      </c>
      <c r="B319" s="486"/>
      <c r="C319" s="390">
        <v>323</v>
      </c>
      <c r="D319" s="391" t="s">
        <v>56</v>
      </c>
      <c r="E319" s="386">
        <v>140000</v>
      </c>
      <c r="F319" s="386">
        <f t="shared" ref="F319:L319" si="149">SUM(F320)</f>
        <v>50000</v>
      </c>
      <c r="G319" s="386">
        <f t="shared" si="149"/>
        <v>6636.1404207313026</v>
      </c>
      <c r="H319" s="386">
        <f t="shared" si="149"/>
        <v>8000</v>
      </c>
      <c r="I319" s="386">
        <f t="shared" si="149"/>
        <v>8000</v>
      </c>
      <c r="J319" s="386">
        <f t="shared" si="149"/>
        <v>9000</v>
      </c>
      <c r="K319" s="386">
        <f t="shared" si="149"/>
        <v>10000</v>
      </c>
      <c r="L319" s="578">
        <f t="shared" si="149"/>
        <v>75345</v>
      </c>
      <c r="M319" s="408">
        <f t="shared" si="147"/>
        <v>112.5</v>
      </c>
      <c r="N319" s="426">
        <f t="shared" si="147"/>
        <v>111.11111111111111</v>
      </c>
    </row>
    <row r="320" spans="1:14" s="414" customFormat="1" ht="15" thickBot="1" x14ac:dyDescent="0.25">
      <c r="A320" s="378" t="s">
        <v>600</v>
      </c>
      <c r="B320" s="488"/>
      <c r="C320" s="410">
        <v>3232</v>
      </c>
      <c r="D320" s="411" t="s">
        <v>240</v>
      </c>
      <c r="E320" s="412">
        <v>140000</v>
      </c>
      <c r="F320" s="412">
        <v>50000</v>
      </c>
      <c r="G320" s="412">
        <f>F320/7.5345</f>
        <v>6636.1404207313026</v>
      </c>
      <c r="H320" s="412">
        <v>8000</v>
      </c>
      <c r="I320" s="412">
        <v>8000</v>
      </c>
      <c r="J320" s="412">
        <v>9000</v>
      </c>
      <c r="K320" s="412">
        <v>10000</v>
      </c>
      <c r="L320" s="580">
        <f>K320*7.5345</f>
        <v>75345</v>
      </c>
      <c r="M320" s="477">
        <f t="shared" si="147"/>
        <v>112.5</v>
      </c>
      <c r="N320" s="478">
        <f t="shared" si="147"/>
        <v>111.11111111111111</v>
      </c>
    </row>
    <row r="321" spans="1:14" s="585" customFormat="1" ht="30" thickTop="1" x14ac:dyDescent="0.25">
      <c r="A321" s="425"/>
      <c r="B321" s="491"/>
      <c r="C321" s="42"/>
      <c r="D321" s="420" t="s">
        <v>400</v>
      </c>
      <c r="E321" s="396"/>
      <c r="F321" s="395"/>
      <c r="G321" s="395"/>
      <c r="H321" s="395" t="s">
        <v>495</v>
      </c>
      <c r="I321" s="395" t="s">
        <v>495</v>
      </c>
      <c r="J321" s="395"/>
      <c r="K321" s="395"/>
      <c r="L321" s="575"/>
      <c r="M321" s="964">
        <f>AVERAGE(J323/I323*100)</f>
        <v>54.54545454545454</v>
      </c>
      <c r="N321" s="962">
        <f>AVERAGE(K323/J323*100)</f>
        <v>100</v>
      </c>
    </row>
    <row r="322" spans="1:14" s="29" customFormat="1" ht="14.25" x14ac:dyDescent="0.2">
      <c r="A322" s="425"/>
      <c r="B322" s="491"/>
      <c r="C322" s="42"/>
      <c r="D322" s="419" t="s">
        <v>510</v>
      </c>
      <c r="E322" s="386"/>
      <c r="F322" s="395"/>
      <c r="G322" s="395"/>
      <c r="H322" s="395"/>
      <c r="I322" s="395"/>
      <c r="J322" s="395"/>
      <c r="K322" s="395"/>
      <c r="L322" s="575"/>
      <c r="M322" s="965"/>
      <c r="N322" s="963"/>
    </row>
    <row r="323" spans="1:14" ht="15.75" x14ac:dyDescent="0.25">
      <c r="A323" s="457"/>
      <c r="B323" s="492"/>
      <c r="C323" s="116"/>
      <c r="D323" s="463" t="s">
        <v>625</v>
      </c>
      <c r="E323" s="458">
        <v>30000</v>
      </c>
      <c r="F323" s="456">
        <f t="shared" ref="F323:K323" si="150">SUM(F324+F328)</f>
        <v>45000</v>
      </c>
      <c r="G323" s="456">
        <f t="shared" si="150"/>
        <v>5972.5263786581727</v>
      </c>
      <c r="H323" s="456">
        <f>SUM(H324+H328)</f>
        <v>12000</v>
      </c>
      <c r="I323" s="456">
        <f t="shared" si="150"/>
        <v>22000</v>
      </c>
      <c r="J323" s="456">
        <f t="shared" si="150"/>
        <v>12000</v>
      </c>
      <c r="K323" s="456">
        <f t="shared" si="150"/>
        <v>12000</v>
      </c>
      <c r="L323" s="576">
        <f>SUM(L324+L328)</f>
        <v>90414</v>
      </c>
      <c r="M323" s="965"/>
      <c r="N323" s="963"/>
    </row>
    <row r="324" spans="1:14" ht="15" x14ac:dyDescent="0.25">
      <c r="A324" s="381" t="s">
        <v>601</v>
      </c>
      <c r="B324" s="487"/>
      <c r="C324" s="377">
        <v>32</v>
      </c>
      <c r="D324" s="388" t="s">
        <v>178</v>
      </c>
      <c r="E324" s="385">
        <v>30000</v>
      </c>
      <c r="F324" s="385">
        <f t="shared" ref="F324:L324" si="151">SUM(F325)</f>
        <v>45000</v>
      </c>
      <c r="G324" s="385">
        <f t="shared" si="151"/>
        <v>5972.5263786581727</v>
      </c>
      <c r="H324" s="385">
        <f t="shared" si="151"/>
        <v>12000</v>
      </c>
      <c r="I324" s="385">
        <f t="shared" si="151"/>
        <v>12000</v>
      </c>
      <c r="J324" s="385">
        <f t="shared" si="151"/>
        <v>12000</v>
      </c>
      <c r="K324" s="385">
        <f t="shared" si="151"/>
        <v>12000</v>
      </c>
      <c r="L324" s="579">
        <f t="shared" si="151"/>
        <v>90414</v>
      </c>
      <c r="M324" s="408">
        <f t="shared" ref="M324:N327" si="152">AVERAGE(J324/I324*100)</f>
        <v>100</v>
      </c>
      <c r="N324" s="426">
        <f t="shared" si="152"/>
        <v>100</v>
      </c>
    </row>
    <row r="325" spans="1:14" ht="14.25" x14ac:dyDescent="0.2">
      <c r="A325" s="378" t="s">
        <v>601</v>
      </c>
      <c r="B325" s="486"/>
      <c r="C325" s="390">
        <v>323</v>
      </c>
      <c r="D325" s="391" t="s">
        <v>56</v>
      </c>
      <c r="E325" s="386">
        <v>30000</v>
      </c>
      <c r="F325" s="386">
        <f t="shared" ref="F325:K325" si="153">SUM(F326:F327)</f>
        <v>45000</v>
      </c>
      <c r="G325" s="386">
        <f t="shared" si="153"/>
        <v>5972.5263786581727</v>
      </c>
      <c r="H325" s="386">
        <f>SUM(H326:H327)</f>
        <v>12000</v>
      </c>
      <c r="I325" s="386">
        <f t="shared" si="153"/>
        <v>12000</v>
      </c>
      <c r="J325" s="386">
        <f t="shared" si="153"/>
        <v>12000</v>
      </c>
      <c r="K325" s="386">
        <f t="shared" si="153"/>
        <v>12000</v>
      </c>
      <c r="L325" s="578">
        <f>SUM(L326:L327)</f>
        <v>90414</v>
      </c>
      <c r="M325" s="408">
        <f t="shared" si="152"/>
        <v>100</v>
      </c>
      <c r="N325" s="426">
        <f t="shared" si="152"/>
        <v>100</v>
      </c>
    </row>
    <row r="326" spans="1:14" s="414" customFormat="1" ht="15" thickBot="1" x14ac:dyDescent="0.25">
      <c r="A326" s="378" t="s">
        <v>601</v>
      </c>
      <c r="B326" s="486"/>
      <c r="C326" s="390">
        <v>3234</v>
      </c>
      <c r="D326" s="391" t="s">
        <v>402</v>
      </c>
      <c r="E326" s="386"/>
      <c r="F326" s="386">
        <v>25000</v>
      </c>
      <c r="G326" s="386">
        <f>F326/7.5345</f>
        <v>3318.0702103656513</v>
      </c>
      <c r="H326" s="386">
        <v>7000</v>
      </c>
      <c r="I326" s="386">
        <v>7000</v>
      </c>
      <c r="J326" s="386">
        <v>7000</v>
      </c>
      <c r="K326" s="386">
        <v>7000</v>
      </c>
      <c r="L326" s="578">
        <f>K326*7.5345</f>
        <v>52741.5</v>
      </c>
      <c r="M326" s="408">
        <f t="shared" si="152"/>
        <v>100</v>
      </c>
      <c r="N326" s="426">
        <f t="shared" si="152"/>
        <v>100</v>
      </c>
    </row>
    <row r="327" spans="1:14" s="116" customFormat="1" ht="16.5" thickTop="1" x14ac:dyDescent="0.25">
      <c r="A327" s="378" t="s">
        <v>601</v>
      </c>
      <c r="B327" s="486"/>
      <c r="C327" s="390">
        <v>3232</v>
      </c>
      <c r="D327" s="391" t="s">
        <v>240</v>
      </c>
      <c r="E327" s="386">
        <v>30000</v>
      </c>
      <c r="F327" s="386">
        <v>20000</v>
      </c>
      <c r="G327" s="386">
        <f>F327/7.5345</f>
        <v>2654.4561682925209</v>
      </c>
      <c r="H327" s="386">
        <v>5000</v>
      </c>
      <c r="I327" s="386">
        <v>5000</v>
      </c>
      <c r="J327" s="386">
        <v>5000</v>
      </c>
      <c r="K327" s="386">
        <v>5000</v>
      </c>
      <c r="L327" s="578">
        <f>K327*7.5345</f>
        <v>37672.5</v>
      </c>
      <c r="M327" s="403">
        <f t="shared" si="152"/>
        <v>100</v>
      </c>
      <c r="N327" s="427">
        <f t="shared" si="152"/>
        <v>100</v>
      </c>
    </row>
    <row r="328" spans="1:14" s="29" customFormat="1" ht="15" x14ac:dyDescent="0.25">
      <c r="A328" s="479" t="s">
        <v>601</v>
      </c>
      <c r="B328" s="485"/>
      <c r="C328" s="415">
        <v>42</v>
      </c>
      <c r="D328" s="392" t="s">
        <v>248</v>
      </c>
      <c r="E328" s="404">
        <v>66500</v>
      </c>
      <c r="F328" s="577">
        <f t="shared" ref="F328:L329" si="154">SUM(F329)</f>
        <v>0</v>
      </c>
      <c r="G328" s="577">
        <f t="shared" si="154"/>
        <v>0</v>
      </c>
      <c r="H328" s="404">
        <f t="shared" si="154"/>
        <v>0</v>
      </c>
      <c r="I328" s="404">
        <f t="shared" si="154"/>
        <v>10000</v>
      </c>
      <c r="J328" s="404">
        <f t="shared" si="154"/>
        <v>0</v>
      </c>
      <c r="K328" s="404">
        <f t="shared" si="154"/>
        <v>0</v>
      </c>
      <c r="L328" s="577">
        <f t="shared" si="154"/>
        <v>0</v>
      </c>
      <c r="M328" s="408">
        <f>AVERAGE(J328/I328*100)</f>
        <v>0</v>
      </c>
      <c r="N328" s="426">
        <v>0</v>
      </c>
    </row>
    <row r="329" spans="1:14" ht="14.25" x14ac:dyDescent="0.2">
      <c r="A329" s="378" t="s">
        <v>601</v>
      </c>
      <c r="B329" s="486"/>
      <c r="C329" s="390">
        <v>421</v>
      </c>
      <c r="D329" s="391" t="s">
        <v>97</v>
      </c>
      <c r="E329" s="386">
        <v>66500</v>
      </c>
      <c r="F329" s="578">
        <f t="shared" si="154"/>
        <v>0</v>
      </c>
      <c r="G329" s="578">
        <f t="shared" si="154"/>
        <v>0</v>
      </c>
      <c r="H329" s="386">
        <f t="shared" si="154"/>
        <v>0</v>
      </c>
      <c r="I329" s="386">
        <f t="shared" si="154"/>
        <v>10000</v>
      </c>
      <c r="J329" s="386">
        <f t="shared" si="154"/>
        <v>0</v>
      </c>
      <c r="K329" s="386">
        <f t="shared" si="154"/>
        <v>0</v>
      </c>
      <c r="L329" s="578">
        <f t="shared" si="154"/>
        <v>0</v>
      </c>
      <c r="M329" s="408">
        <f>AVERAGE(J329/I329*100)</f>
        <v>0</v>
      </c>
      <c r="N329" s="427">
        <v>0</v>
      </c>
    </row>
    <row r="330" spans="1:14" ht="15.75" thickBot="1" x14ac:dyDescent="0.3">
      <c r="A330" s="381" t="s">
        <v>601</v>
      </c>
      <c r="B330" s="488"/>
      <c r="C330" s="410">
        <v>4214</v>
      </c>
      <c r="D330" s="411" t="s">
        <v>405</v>
      </c>
      <c r="E330" s="412">
        <v>66500</v>
      </c>
      <c r="F330" s="580">
        <v>0</v>
      </c>
      <c r="G330" s="580">
        <v>0</v>
      </c>
      <c r="H330" s="412">
        <v>0</v>
      </c>
      <c r="I330" s="412">
        <v>10000</v>
      </c>
      <c r="J330" s="412">
        <v>0</v>
      </c>
      <c r="K330" s="412">
        <v>0</v>
      </c>
      <c r="L330" s="580">
        <v>0</v>
      </c>
      <c r="M330" s="408">
        <f>AVERAGE(J330/I330*100)</f>
        <v>0</v>
      </c>
      <c r="N330" s="430">
        <v>0</v>
      </c>
    </row>
    <row r="331" spans="1:14" ht="29.25" thickTop="1" x14ac:dyDescent="0.2">
      <c r="A331" s="425"/>
      <c r="B331" s="491"/>
      <c r="C331" s="42"/>
      <c r="D331" s="420" t="s">
        <v>400</v>
      </c>
      <c r="E331" s="396"/>
      <c r="F331" s="395"/>
      <c r="G331" s="395"/>
      <c r="H331" s="395"/>
      <c r="I331" s="395"/>
      <c r="J331" s="395"/>
      <c r="K331" s="395"/>
      <c r="L331" s="575"/>
      <c r="M331" s="964">
        <f>AVERAGE(J333/I333*100)</f>
        <v>75</v>
      </c>
      <c r="N331" s="962">
        <f>AVERAGE(K333/J333*100)</f>
        <v>100</v>
      </c>
    </row>
    <row r="332" spans="1:14" s="414" customFormat="1" ht="15" thickBot="1" x14ac:dyDescent="0.25">
      <c r="A332" s="425"/>
      <c r="B332" s="491"/>
      <c r="C332" s="42"/>
      <c r="D332" s="419" t="s">
        <v>242</v>
      </c>
      <c r="E332" s="386"/>
      <c r="F332" s="395"/>
      <c r="G332" s="395"/>
      <c r="H332" s="395"/>
      <c r="I332" s="395"/>
      <c r="J332" s="395"/>
      <c r="K332" s="395"/>
      <c r="L332" s="575"/>
      <c r="M332" s="965"/>
      <c r="N332" s="963"/>
    </row>
    <row r="333" spans="1:14" s="116" customFormat="1" ht="16.5" thickTop="1" x14ac:dyDescent="0.25">
      <c r="A333" s="457"/>
      <c r="B333" s="492"/>
      <c r="D333" s="463" t="s">
        <v>647</v>
      </c>
      <c r="E333" s="458">
        <v>350000</v>
      </c>
      <c r="F333" s="456">
        <f t="shared" ref="F333:L335" si="155">SUM(F334)</f>
        <v>215000</v>
      </c>
      <c r="G333" s="456">
        <f t="shared" si="155"/>
        <v>28535.403809144598</v>
      </c>
      <c r="H333" s="456">
        <f t="shared" ref="H333:K333" si="156">SUM(H334)</f>
        <v>50000</v>
      </c>
      <c r="I333" s="456">
        <f t="shared" si="156"/>
        <v>40000</v>
      </c>
      <c r="J333" s="456">
        <f t="shared" si="156"/>
        <v>30000</v>
      </c>
      <c r="K333" s="456">
        <f t="shared" si="156"/>
        <v>30000</v>
      </c>
      <c r="L333" s="576">
        <f t="shared" si="155"/>
        <v>226035</v>
      </c>
      <c r="M333" s="965"/>
      <c r="N333" s="963"/>
    </row>
    <row r="334" spans="1:14" s="29" customFormat="1" ht="15" x14ac:dyDescent="0.25">
      <c r="A334" s="381" t="s">
        <v>638</v>
      </c>
      <c r="B334" s="487"/>
      <c r="C334" s="377">
        <v>32</v>
      </c>
      <c r="D334" s="388" t="s">
        <v>178</v>
      </c>
      <c r="E334" s="385">
        <v>350000</v>
      </c>
      <c r="F334" s="385">
        <f t="shared" si="155"/>
        <v>215000</v>
      </c>
      <c r="G334" s="385">
        <f t="shared" si="155"/>
        <v>28535.403809144598</v>
      </c>
      <c r="H334" s="385">
        <f t="shared" si="155"/>
        <v>50000</v>
      </c>
      <c r="I334" s="385">
        <f t="shared" si="155"/>
        <v>40000</v>
      </c>
      <c r="J334" s="385">
        <f t="shared" si="155"/>
        <v>30000</v>
      </c>
      <c r="K334" s="385">
        <f t="shared" si="155"/>
        <v>30000</v>
      </c>
      <c r="L334" s="579">
        <f t="shared" si="155"/>
        <v>226035</v>
      </c>
      <c r="M334" s="408">
        <f t="shared" ref="M334:N336" si="157">AVERAGE(J334/I334*100)</f>
        <v>75</v>
      </c>
      <c r="N334" s="426">
        <f t="shared" si="157"/>
        <v>100</v>
      </c>
    </row>
    <row r="335" spans="1:14" ht="14.25" x14ac:dyDescent="0.2">
      <c r="A335" s="378" t="s">
        <v>638</v>
      </c>
      <c r="B335" s="486"/>
      <c r="C335" s="390">
        <v>323</v>
      </c>
      <c r="D335" s="391" t="s">
        <v>56</v>
      </c>
      <c r="E335" s="386">
        <v>350000</v>
      </c>
      <c r="F335" s="386">
        <f t="shared" si="155"/>
        <v>215000</v>
      </c>
      <c r="G335" s="386">
        <f t="shared" si="155"/>
        <v>28535.403809144598</v>
      </c>
      <c r="H335" s="386">
        <f>SUM(H336)</f>
        <v>50000</v>
      </c>
      <c r="I335" s="386">
        <f>SUM(I336)</f>
        <v>40000</v>
      </c>
      <c r="J335" s="386">
        <f t="shared" si="155"/>
        <v>30000</v>
      </c>
      <c r="K335" s="386">
        <f t="shared" si="155"/>
        <v>30000</v>
      </c>
      <c r="L335" s="578">
        <f t="shared" si="155"/>
        <v>226035</v>
      </c>
      <c r="M335" s="408">
        <f t="shared" si="157"/>
        <v>75</v>
      </c>
      <c r="N335" s="426">
        <f t="shared" si="157"/>
        <v>100</v>
      </c>
    </row>
    <row r="336" spans="1:14" ht="15" thickBot="1" x14ac:dyDescent="0.25">
      <c r="A336" s="431" t="s">
        <v>638</v>
      </c>
      <c r="B336" s="488"/>
      <c r="C336" s="410">
        <v>3232</v>
      </c>
      <c r="D336" s="411" t="s">
        <v>240</v>
      </c>
      <c r="E336" s="412">
        <v>350000</v>
      </c>
      <c r="F336" s="412">
        <v>215000</v>
      </c>
      <c r="G336" s="412">
        <f>F336/7.5345</f>
        <v>28535.403809144598</v>
      </c>
      <c r="H336" s="412">
        <v>50000</v>
      </c>
      <c r="I336" s="412">
        <v>40000</v>
      </c>
      <c r="J336" s="412">
        <v>30000</v>
      </c>
      <c r="K336" s="412">
        <v>30000</v>
      </c>
      <c r="L336" s="580">
        <f>K336*7.5345</f>
        <v>226035</v>
      </c>
      <c r="M336" s="477">
        <f t="shared" si="157"/>
        <v>75</v>
      </c>
      <c r="N336" s="478">
        <f t="shared" si="157"/>
        <v>100</v>
      </c>
    </row>
    <row r="337" spans="1:14" ht="29.25" thickTop="1" x14ac:dyDescent="0.2">
      <c r="A337" s="425"/>
      <c r="B337" s="491"/>
      <c r="C337" s="42"/>
      <c r="D337" s="420" t="s">
        <v>400</v>
      </c>
      <c r="E337" s="396"/>
      <c r="F337" s="395"/>
      <c r="G337" s="395"/>
      <c r="H337" s="395"/>
      <c r="I337" s="395"/>
      <c r="J337" s="395"/>
      <c r="K337" s="395"/>
      <c r="L337" s="575"/>
      <c r="M337" s="964">
        <f>AVERAGE(J339/I339*100)</f>
        <v>75</v>
      </c>
      <c r="N337" s="962">
        <f>AVERAGE(K339/J339*100)</f>
        <v>100</v>
      </c>
    </row>
    <row r="338" spans="1:14" s="414" customFormat="1" ht="15" thickBot="1" x14ac:dyDescent="0.25">
      <c r="A338" s="425"/>
      <c r="B338" s="491"/>
      <c r="C338" s="42"/>
      <c r="D338" s="419" t="s">
        <v>510</v>
      </c>
      <c r="E338" s="386"/>
      <c r="F338" s="395"/>
      <c r="G338" s="395"/>
      <c r="H338" s="395"/>
      <c r="I338" s="395"/>
      <c r="J338" s="395"/>
      <c r="K338" s="395"/>
      <c r="L338" s="575"/>
      <c r="M338" s="965"/>
      <c r="N338" s="963"/>
    </row>
    <row r="339" spans="1:14" s="116" customFormat="1" ht="16.5" thickTop="1" x14ac:dyDescent="0.25">
      <c r="A339" s="457"/>
      <c r="B339" s="492"/>
      <c r="D339" s="463" t="s">
        <v>648</v>
      </c>
      <c r="E339" s="458">
        <v>750000</v>
      </c>
      <c r="F339" s="456">
        <f t="shared" ref="F339:L341" si="158">SUM(F340)</f>
        <v>400000</v>
      </c>
      <c r="G339" s="456">
        <f t="shared" si="158"/>
        <v>53089.123365850421</v>
      </c>
      <c r="H339" s="456">
        <f t="shared" si="158"/>
        <v>80000</v>
      </c>
      <c r="I339" s="456">
        <f t="shared" si="158"/>
        <v>40000</v>
      </c>
      <c r="J339" s="456">
        <f t="shared" si="158"/>
        <v>30000</v>
      </c>
      <c r="K339" s="456">
        <f t="shared" si="158"/>
        <v>30000</v>
      </c>
      <c r="L339" s="576">
        <f t="shared" si="158"/>
        <v>226035</v>
      </c>
      <c r="M339" s="965"/>
      <c r="N339" s="963"/>
    </row>
    <row r="340" spans="1:14" s="29" customFormat="1" ht="15" x14ac:dyDescent="0.25">
      <c r="A340" s="381" t="s">
        <v>639</v>
      </c>
      <c r="B340" s="487"/>
      <c r="C340" s="377">
        <v>32</v>
      </c>
      <c r="D340" s="388" t="s">
        <v>178</v>
      </c>
      <c r="E340" s="385">
        <v>750000</v>
      </c>
      <c r="F340" s="385">
        <f t="shared" si="158"/>
        <v>400000</v>
      </c>
      <c r="G340" s="385">
        <f t="shared" si="158"/>
        <v>53089.123365850421</v>
      </c>
      <c r="H340" s="385">
        <f t="shared" si="158"/>
        <v>80000</v>
      </c>
      <c r="I340" s="385">
        <f t="shared" si="158"/>
        <v>40000</v>
      </c>
      <c r="J340" s="385">
        <f t="shared" si="158"/>
        <v>30000</v>
      </c>
      <c r="K340" s="385">
        <f t="shared" si="158"/>
        <v>30000</v>
      </c>
      <c r="L340" s="579">
        <f t="shared" si="158"/>
        <v>226035</v>
      </c>
      <c r="M340" s="408">
        <f t="shared" ref="M340:N342" si="159">AVERAGE(J340/I340*100)</f>
        <v>75</v>
      </c>
      <c r="N340" s="426">
        <f t="shared" si="159"/>
        <v>100</v>
      </c>
    </row>
    <row r="341" spans="1:14" ht="14.25" x14ac:dyDescent="0.2">
      <c r="A341" s="378" t="s">
        <v>639</v>
      </c>
      <c r="B341" s="486"/>
      <c r="C341" s="390">
        <v>323</v>
      </c>
      <c r="D341" s="391" t="s">
        <v>56</v>
      </c>
      <c r="E341" s="386">
        <v>750000</v>
      </c>
      <c r="F341" s="386">
        <f t="shared" si="158"/>
        <v>400000</v>
      </c>
      <c r="G341" s="386">
        <f t="shared" si="158"/>
        <v>53089.123365850421</v>
      </c>
      <c r="H341" s="386">
        <f t="shared" si="158"/>
        <v>80000</v>
      </c>
      <c r="I341" s="386">
        <f t="shared" si="158"/>
        <v>40000</v>
      </c>
      <c r="J341" s="386">
        <f t="shared" si="158"/>
        <v>30000</v>
      </c>
      <c r="K341" s="386">
        <f t="shared" si="158"/>
        <v>30000</v>
      </c>
      <c r="L341" s="578">
        <f t="shared" si="158"/>
        <v>226035</v>
      </c>
      <c r="M341" s="408">
        <f t="shared" si="159"/>
        <v>75</v>
      </c>
      <c r="N341" s="426">
        <f t="shared" si="159"/>
        <v>100</v>
      </c>
    </row>
    <row r="342" spans="1:14" ht="15" thickBot="1" x14ac:dyDescent="0.25">
      <c r="A342" s="431" t="s">
        <v>639</v>
      </c>
      <c r="B342" s="488"/>
      <c r="C342" s="410">
        <v>3232</v>
      </c>
      <c r="D342" s="411" t="s">
        <v>240</v>
      </c>
      <c r="E342" s="412">
        <v>750000</v>
      </c>
      <c r="F342" s="412">
        <v>400000</v>
      </c>
      <c r="G342" s="412">
        <f>F342/7.5345</f>
        <v>53089.123365850421</v>
      </c>
      <c r="H342" s="412">
        <v>80000</v>
      </c>
      <c r="I342" s="412">
        <v>40000</v>
      </c>
      <c r="J342" s="412">
        <v>30000</v>
      </c>
      <c r="K342" s="412">
        <v>30000</v>
      </c>
      <c r="L342" s="580">
        <f>K342*7.5345</f>
        <v>226035</v>
      </c>
      <c r="M342" s="477">
        <f t="shared" si="159"/>
        <v>75</v>
      </c>
      <c r="N342" s="478">
        <f t="shared" si="159"/>
        <v>100</v>
      </c>
    </row>
    <row r="343" spans="1:14" ht="29.25" thickTop="1" x14ac:dyDescent="0.2">
      <c r="A343" s="425"/>
      <c r="B343" s="491"/>
      <c r="C343" s="42"/>
      <c r="D343" s="420" t="s">
        <v>400</v>
      </c>
      <c r="E343" s="396"/>
      <c r="F343" s="395"/>
      <c r="G343" s="395"/>
      <c r="H343" s="395"/>
      <c r="I343" s="395"/>
      <c r="J343" s="395"/>
      <c r="K343" s="395"/>
      <c r="L343" s="575"/>
      <c r="M343" s="964">
        <f>AVERAGE(J345/I345*100)</f>
        <v>100</v>
      </c>
      <c r="N343" s="962">
        <f>AVERAGE(K345/J345*100)</f>
        <v>100</v>
      </c>
    </row>
    <row r="344" spans="1:14" s="414" customFormat="1" ht="15" thickBot="1" x14ac:dyDescent="0.25">
      <c r="A344" s="425"/>
      <c r="B344" s="491"/>
      <c r="C344" s="42"/>
      <c r="D344" s="419" t="s">
        <v>510</v>
      </c>
      <c r="E344" s="386"/>
      <c r="F344" s="395"/>
      <c r="G344" s="395"/>
      <c r="H344" s="395"/>
      <c r="I344" s="395"/>
      <c r="J344" s="395"/>
      <c r="K344" s="395"/>
      <c r="L344" s="575"/>
      <c r="M344" s="965"/>
      <c r="N344" s="963"/>
    </row>
    <row r="345" spans="1:14" s="446" customFormat="1" ht="18.75" thickTop="1" x14ac:dyDescent="0.25">
      <c r="A345" s="457"/>
      <c r="B345" s="492"/>
      <c r="C345" s="116"/>
      <c r="D345" s="463" t="s">
        <v>649</v>
      </c>
      <c r="E345" s="458">
        <v>120000</v>
      </c>
      <c r="F345" s="456">
        <f t="shared" ref="F345:L347" si="160">SUM(F346)</f>
        <v>100000</v>
      </c>
      <c r="G345" s="456">
        <f t="shared" si="160"/>
        <v>13272.280841462605</v>
      </c>
      <c r="H345" s="456">
        <f t="shared" si="160"/>
        <v>40000</v>
      </c>
      <c r="I345" s="456">
        <f t="shared" si="160"/>
        <v>40000</v>
      </c>
      <c r="J345" s="456">
        <f t="shared" si="160"/>
        <v>40000</v>
      </c>
      <c r="K345" s="456">
        <f t="shared" si="160"/>
        <v>40000</v>
      </c>
      <c r="L345" s="576">
        <f t="shared" si="160"/>
        <v>301380</v>
      </c>
      <c r="M345" s="965"/>
      <c r="N345" s="963"/>
    </row>
    <row r="346" spans="1:14" ht="15" x14ac:dyDescent="0.25">
      <c r="A346" s="381" t="s">
        <v>640</v>
      </c>
      <c r="B346" s="487"/>
      <c r="C346" s="377">
        <v>32</v>
      </c>
      <c r="D346" s="388" t="s">
        <v>178</v>
      </c>
      <c r="E346" s="385">
        <v>120000</v>
      </c>
      <c r="F346" s="385">
        <f t="shared" si="160"/>
        <v>100000</v>
      </c>
      <c r="G346" s="385">
        <f t="shared" si="160"/>
        <v>13272.280841462605</v>
      </c>
      <c r="H346" s="385">
        <f t="shared" si="160"/>
        <v>40000</v>
      </c>
      <c r="I346" s="385">
        <f t="shared" si="160"/>
        <v>40000</v>
      </c>
      <c r="J346" s="385">
        <f t="shared" si="160"/>
        <v>40000</v>
      </c>
      <c r="K346" s="385">
        <f t="shared" si="160"/>
        <v>40000</v>
      </c>
      <c r="L346" s="579">
        <f t="shared" si="160"/>
        <v>301380</v>
      </c>
      <c r="M346" s="408">
        <f t="shared" ref="M346:N348" si="161">AVERAGE(J346/I346*100)</f>
        <v>100</v>
      </c>
      <c r="N346" s="426">
        <f t="shared" si="161"/>
        <v>100</v>
      </c>
    </row>
    <row r="347" spans="1:14" ht="14.25" x14ac:dyDescent="0.2">
      <c r="A347" s="378" t="s">
        <v>640</v>
      </c>
      <c r="B347" s="486"/>
      <c r="C347" s="390">
        <v>323</v>
      </c>
      <c r="D347" s="391" t="s">
        <v>56</v>
      </c>
      <c r="E347" s="386">
        <v>120000</v>
      </c>
      <c r="F347" s="386">
        <f t="shared" si="160"/>
        <v>100000</v>
      </c>
      <c r="G347" s="386">
        <f t="shared" si="160"/>
        <v>13272.280841462605</v>
      </c>
      <c r="H347" s="386">
        <f t="shared" si="160"/>
        <v>40000</v>
      </c>
      <c r="I347" s="386">
        <f t="shared" si="160"/>
        <v>40000</v>
      </c>
      <c r="J347" s="386">
        <f t="shared" si="160"/>
        <v>40000</v>
      </c>
      <c r="K347" s="386">
        <f t="shared" si="160"/>
        <v>40000</v>
      </c>
      <c r="L347" s="578">
        <f t="shared" si="160"/>
        <v>301380</v>
      </c>
      <c r="M347" s="408">
        <f t="shared" si="161"/>
        <v>100</v>
      </c>
      <c r="N347" s="426">
        <f t="shared" si="161"/>
        <v>100</v>
      </c>
    </row>
    <row r="348" spans="1:14" s="116" customFormat="1" ht="16.5" thickBot="1" x14ac:dyDescent="0.3">
      <c r="A348" s="431" t="s">
        <v>640</v>
      </c>
      <c r="B348" s="488"/>
      <c r="C348" s="410">
        <v>3232</v>
      </c>
      <c r="D348" s="411" t="s">
        <v>240</v>
      </c>
      <c r="E348" s="412">
        <v>120000</v>
      </c>
      <c r="F348" s="412">
        <v>100000</v>
      </c>
      <c r="G348" s="412">
        <f>F348/7.5345</f>
        <v>13272.280841462605</v>
      </c>
      <c r="H348" s="412">
        <v>40000</v>
      </c>
      <c r="I348" s="412">
        <v>40000</v>
      </c>
      <c r="J348" s="412">
        <v>40000</v>
      </c>
      <c r="K348" s="412">
        <v>40000</v>
      </c>
      <c r="L348" s="580">
        <f>K348*7.5345</f>
        <v>301380</v>
      </c>
      <c r="M348" s="477">
        <f t="shared" si="161"/>
        <v>100</v>
      </c>
      <c r="N348" s="478">
        <f t="shared" si="161"/>
        <v>100</v>
      </c>
    </row>
    <row r="349" spans="1:14" s="29" customFormat="1" ht="29.25" thickTop="1" x14ac:dyDescent="0.2">
      <c r="A349" s="425"/>
      <c r="B349" s="491"/>
      <c r="C349" s="42"/>
      <c r="D349" s="420" t="s">
        <v>400</v>
      </c>
      <c r="E349" s="396"/>
      <c r="F349" s="395"/>
      <c r="G349" s="395"/>
      <c r="H349" s="395"/>
      <c r="I349" s="395"/>
      <c r="J349" s="395"/>
      <c r="K349" s="395"/>
      <c r="L349" s="575"/>
      <c r="M349" s="964">
        <f>AVERAGE(J351/I351*100)</f>
        <v>100</v>
      </c>
      <c r="N349" s="962">
        <f>AVERAGE(K351/J351*100)</f>
        <v>100</v>
      </c>
    </row>
    <row r="350" spans="1:14" ht="14.25" x14ac:dyDescent="0.2">
      <c r="A350" s="425"/>
      <c r="B350" s="491"/>
      <c r="C350" s="42"/>
      <c r="D350" s="419" t="s">
        <v>506</v>
      </c>
      <c r="E350" s="386"/>
      <c r="F350" s="395"/>
      <c r="G350" s="395"/>
      <c r="H350" s="395"/>
      <c r="I350" s="395"/>
      <c r="J350" s="395"/>
      <c r="K350" s="395"/>
      <c r="L350" s="575"/>
      <c r="M350" s="965"/>
      <c r="N350" s="963"/>
    </row>
    <row r="351" spans="1:14" ht="15.75" x14ac:dyDescent="0.25">
      <c r="A351" s="457"/>
      <c r="B351" s="492"/>
      <c r="C351" s="116"/>
      <c r="D351" s="463" t="s">
        <v>650</v>
      </c>
      <c r="E351" s="458">
        <v>50000</v>
      </c>
      <c r="F351" s="456">
        <f t="shared" ref="F351:L353" si="162">SUM(F352)</f>
        <v>150000</v>
      </c>
      <c r="G351" s="456">
        <f t="shared" si="162"/>
        <v>19908.421262193908</v>
      </c>
      <c r="H351" s="456">
        <f t="shared" si="162"/>
        <v>20000</v>
      </c>
      <c r="I351" s="456">
        <f t="shared" si="162"/>
        <v>25000</v>
      </c>
      <c r="J351" s="456">
        <f t="shared" si="162"/>
        <v>25000</v>
      </c>
      <c r="K351" s="456">
        <f t="shared" si="162"/>
        <v>25000</v>
      </c>
      <c r="L351" s="576">
        <f t="shared" si="162"/>
        <v>188362.5</v>
      </c>
      <c r="M351" s="965"/>
      <c r="N351" s="963"/>
    </row>
    <row r="352" spans="1:14" s="414" customFormat="1" ht="15.75" thickBot="1" x14ac:dyDescent="0.3">
      <c r="A352" s="381" t="s">
        <v>641</v>
      </c>
      <c r="B352" s="487"/>
      <c r="C352" s="377">
        <v>32</v>
      </c>
      <c r="D352" s="388" t="s">
        <v>178</v>
      </c>
      <c r="E352" s="385">
        <v>50000</v>
      </c>
      <c r="F352" s="385">
        <f t="shared" si="162"/>
        <v>150000</v>
      </c>
      <c r="G352" s="385">
        <f t="shared" si="162"/>
        <v>19908.421262193908</v>
      </c>
      <c r="H352" s="385">
        <f t="shared" si="162"/>
        <v>20000</v>
      </c>
      <c r="I352" s="385">
        <f t="shared" si="162"/>
        <v>25000</v>
      </c>
      <c r="J352" s="385">
        <f t="shared" si="162"/>
        <v>25000</v>
      </c>
      <c r="K352" s="385">
        <f t="shared" si="162"/>
        <v>25000</v>
      </c>
      <c r="L352" s="579">
        <f t="shared" si="162"/>
        <v>188362.5</v>
      </c>
      <c r="M352" s="408">
        <f t="shared" ref="M352:N354" si="163">AVERAGE(J352/I352*100)</f>
        <v>100</v>
      </c>
      <c r="N352" s="426">
        <f t="shared" si="163"/>
        <v>100</v>
      </c>
    </row>
    <row r="353" spans="1:14" s="585" customFormat="1" ht="16.5" thickTop="1" x14ac:dyDescent="0.25">
      <c r="A353" s="378" t="s">
        <v>641</v>
      </c>
      <c r="B353" s="486"/>
      <c r="C353" s="390">
        <v>323</v>
      </c>
      <c r="D353" s="391" t="s">
        <v>56</v>
      </c>
      <c r="E353" s="386">
        <v>50000</v>
      </c>
      <c r="F353" s="386">
        <f t="shared" si="162"/>
        <v>150000</v>
      </c>
      <c r="G353" s="386">
        <f t="shared" si="162"/>
        <v>19908.421262193908</v>
      </c>
      <c r="H353" s="386">
        <f t="shared" si="162"/>
        <v>20000</v>
      </c>
      <c r="I353" s="386">
        <f t="shared" si="162"/>
        <v>25000</v>
      </c>
      <c r="J353" s="386">
        <f t="shared" si="162"/>
        <v>25000</v>
      </c>
      <c r="K353" s="386">
        <f t="shared" si="162"/>
        <v>25000</v>
      </c>
      <c r="L353" s="578">
        <f t="shared" si="162"/>
        <v>188362.5</v>
      </c>
      <c r="M353" s="408">
        <f t="shared" si="163"/>
        <v>100</v>
      </c>
      <c r="N353" s="426">
        <f t="shared" si="163"/>
        <v>100</v>
      </c>
    </row>
    <row r="354" spans="1:14" s="586" customFormat="1" ht="15" thickBot="1" x14ac:dyDescent="0.25">
      <c r="A354" s="431" t="s">
        <v>641</v>
      </c>
      <c r="B354" s="488"/>
      <c r="C354" s="410">
        <v>3232</v>
      </c>
      <c r="D354" s="411" t="s">
        <v>240</v>
      </c>
      <c r="E354" s="412">
        <v>50000</v>
      </c>
      <c r="F354" s="412">
        <v>150000</v>
      </c>
      <c r="G354" s="412">
        <f>F354/7.5345</f>
        <v>19908.421262193908</v>
      </c>
      <c r="H354" s="412">
        <v>20000</v>
      </c>
      <c r="I354" s="412">
        <v>25000</v>
      </c>
      <c r="J354" s="412">
        <v>25000</v>
      </c>
      <c r="K354" s="412">
        <v>25000</v>
      </c>
      <c r="L354" s="580">
        <f>K354*7.5345</f>
        <v>188362.5</v>
      </c>
      <c r="M354" s="477">
        <f t="shared" si="163"/>
        <v>100</v>
      </c>
      <c r="N354" s="478">
        <f t="shared" si="163"/>
        <v>100</v>
      </c>
    </row>
    <row r="355" spans="1:14" s="587" customFormat="1" ht="29.25" thickTop="1" x14ac:dyDescent="0.2">
      <c r="A355" s="425"/>
      <c r="B355" s="491"/>
      <c r="C355" s="42"/>
      <c r="D355" s="420" t="s">
        <v>400</v>
      </c>
      <c r="E355" s="396"/>
      <c r="F355" s="395"/>
      <c r="G355" s="395"/>
      <c r="H355" s="395"/>
      <c r="I355" s="395"/>
      <c r="J355" s="395"/>
      <c r="K355" s="395"/>
      <c r="L355" s="575"/>
      <c r="M355" s="964">
        <f>AVERAGE(J357/I357*100)</f>
        <v>50</v>
      </c>
      <c r="N355" s="962">
        <f>AVERAGE(K357/J357*100)</f>
        <v>100</v>
      </c>
    </row>
    <row r="356" spans="1:14" s="587" customFormat="1" ht="14.25" x14ac:dyDescent="0.2">
      <c r="A356" s="425"/>
      <c r="B356" s="491"/>
      <c r="C356" s="42"/>
      <c r="D356" s="419" t="s">
        <v>506</v>
      </c>
      <c r="E356" s="386"/>
      <c r="F356" s="395"/>
      <c r="G356" s="395"/>
      <c r="H356" s="395"/>
      <c r="I356" s="395"/>
      <c r="J356" s="395"/>
      <c r="K356" s="395"/>
      <c r="L356" s="575"/>
      <c r="M356" s="965"/>
      <c r="N356" s="963"/>
    </row>
    <row r="357" spans="1:14" s="587" customFormat="1" ht="31.5" x14ac:dyDescent="0.25">
      <c r="A357" s="457"/>
      <c r="B357" s="492"/>
      <c r="C357" s="116"/>
      <c r="D357" s="463" t="s">
        <v>651</v>
      </c>
      <c r="E357" s="458">
        <v>90000</v>
      </c>
      <c r="F357" s="456">
        <f t="shared" ref="F357:L359" si="164">SUM(F358)</f>
        <v>50000</v>
      </c>
      <c r="G357" s="456">
        <f t="shared" si="164"/>
        <v>6636.1404207313026</v>
      </c>
      <c r="H357" s="456">
        <f t="shared" si="164"/>
        <v>6000</v>
      </c>
      <c r="I357" s="456">
        <f t="shared" si="164"/>
        <v>20000</v>
      </c>
      <c r="J357" s="456">
        <f t="shared" si="164"/>
        <v>10000</v>
      </c>
      <c r="K357" s="456">
        <f t="shared" si="164"/>
        <v>10000</v>
      </c>
      <c r="L357" s="576">
        <f t="shared" si="164"/>
        <v>75345</v>
      </c>
      <c r="M357" s="965"/>
      <c r="N357" s="963"/>
    </row>
    <row r="358" spans="1:14" s="587" customFormat="1" ht="15" x14ac:dyDescent="0.25">
      <c r="A358" s="381" t="s">
        <v>642</v>
      </c>
      <c r="B358" s="487"/>
      <c r="C358" s="377">
        <v>32</v>
      </c>
      <c r="D358" s="388" t="s">
        <v>178</v>
      </c>
      <c r="E358" s="385">
        <v>90000</v>
      </c>
      <c r="F358" s="385">
        <f t="shared" si="164"/>
        <v>50000</v>
      </c>
      <c r="G358" s="385">
        <f t="shared" si="164"/>
        <v>6636.1404207313026</v>
      </c>
      <c r="H358" s="385">
        <f t="shared" si="164"/>
        <v>6000</v>
      </c>
      <c r="I358" s="385">
        <f t="shared" si="164"/>
        <v>20000</v>
      </c>
      <c r="J358" s="385">
        <f t="shared" si="164"/>
        <v>10000</v>
      </c>
      <c r="K358" s="385">
        <f t="shared" si="164"/>
        <v>10000</v>
      </c>
      <c r="L358" s="579">
        <f t="shared" si="164"/>
        <v>75345</v>
      </c>
      <c r="M358" s="408">
        <f t="shared" ref="M358:N360" si="165">AVERAGE(J358/I358*100)</f>
        <v>50</v>
      </c>
      <c r="N358" s="426">
        <f t="shared" si="165"/>
        <v>100</v>
      </c>
    </row>
    <row r="359" spans="1:14" s="116" customFormat="1" ht="15.75" x14ac:dyDescent="0.25">
      <c r="A359" s="378" t="s">
        <v>642</v>
      </c>
      <c r="B359" s="486"/>
      <c r="C359" s="390">
        <v>323</v>
      </c>
      <c r="D359" s="391" t="s">
        <v>56</v>
      </c>
      <c r="E359" s="386">
        <v>90000</v>
      </c>
      <c r="F359" s="386">
        <f t="shared" si="164"/>
        <v>50000</v>
      </c>
      <c r="G359" s="386">
        <f t="shared" si="164"/>
        <v>6636.1404207313026</v>
      </c>
      <c r="H359" s="386">
        <f t="shared" si="164"/>
        <v>6000</v>
      </c>
      <c r="I359" s="386">
        <f t="shared" si="164"/>
        <v>20000</v>
      </c>
      <c r="J359" s="386">
        <f t="shared" si="164"/>
        <v>10000</v>
      </c>
      <c r="K359" s="386">
        <f t="shared" si="164"/>
        <v>10000</v>
      </c>
      <c r="L359" s="578">
        <f t="shared" si="164"/>
        <v>75345</v>
      </c>
      <c r="M359" s="408">
        <f t="shared" si="165"/>
        <v>50</v>
      </c>
      <c r="N359" s="426">
        <f t="shared" si="165"/>
        <v>100</v>
      </c>
    </row>
    <row r="360" spans="1:14" ht="16.5" customHeight="1" thickBot="1" x14ac:dyDescent="0.25">
      <c r="A360" s="431" t="s">
        <v>642</v>
      </c>
      <c r="B360" s="488"/>
      <c r="C360" s="410">
        <v>3232</v>
      </c>
      <c r="D360" s="411" t="s">
        <v>240</v>
      </c>
      <c r="E360" s="412">
        <v>90000</v>
      </c>
      <c r="F360" s="412">
        <v>50000</v>
      </c>
      <c r="G360" s="412">
        <f>F360/7.5345</f>
        <v>6636.1404207313026</v>
      </c>
      <c r="H360" s="412">
        <v>6000</v>
      </c>
      <c r="I360" s="412">
        <v>20000</v>
      </c>
      <c r="J360" s="412">
        <v>10000</v>
      </c>
      <c r="K360" s="412">
        <v>10000</v>
      </c>
      <c r="L360" s="580">
        <f>K360*7.5345</f>
        <v>75345</v>
      </c>
      <c r="M360" s="477">
        <f t="shared" si="165"/>
        <v>50</v>
      </c>
      <c r="N360" s="478">
        <f t="shared" si="165"/>
        <v>100</v>
      </c>
    </row>
    <row r="361" spans="1:14" s="4" customFormat="1" ht="30" customHeight="1" thickTop="1" x14ac:dyDescent="0.2">
      <c r="A361" s="425"/>
      <c r="B361" s="491"/>
      <c r="C361" s="42"/>
      <c r="D361" s="420" t="s">
        <v>400</v>
      </c>
      <c r="E361" s="396"/>
      <c r="F361" s="395"/>
      <c r="G361" s="395"/>
      <c r="H361" s="395"/>
      <c r="I361" s="395"/>
      <c r="J361" s="395"/>
      <c r="K361" s="395"/>
      <c r="L361" s="575"/>
      <c r="M361" s="964">
        <f>AVERAGE(J363/I363*100)</f>
        <v>50</v>
      </c>
      <c r="N361" s="962">
        <f>AVERAGE(K363/J363*100)</f>
        <v>100</v>
      </c>
    </row>
    <row r="362" spans="1:14" s="116" customFormat="1" ht="15.75" x14ac:dyDescent="0.25">
      <c r="A362" s="425"/>
      <c r="B362" s="491"/>
      <c r="C362" s="42"/>
      <c r="D362" s="419" t="s">
        <v>511</v>
      </c>
      <c r="E362" s="386"/>
      <c r="F362" s="395"/>
      <c r="G362" s="395"/>
      <c r="H362" s="395"/>
      <c r="I362" s="395"/>
      <c r="J362" s="395"/>
      <c r="K362" s="395"/>
      <c r="L362" s="575"/>
      <c r="M362" s="965"/>
      <c r="N362" s="963"/>
    </row>
    <row r="363" spans="1:14" s="29" customFormat="1" ht="31.5" x14ac:dyDescent="0.25">
      <c r="A363" s="457"/>
      <c r="B363" s="492"/>
      <c r="C363" s="116"/>
      <c r="D363" s="463" t="s">
        <v>652</v>
      </c>
      <c r="E363" s="458">
        <v>50000</v>
      </c>
      <c r="F363" s="456">
        <f t="shared" ref="F363:L365" si="166">SUM(F364)</f>
        <v>5000</v>
      </c>
      <c r="G363" s="456">
        <f t="shared" si="166"/>
        <v>663.61404207313024</v>
      </c>
      <c r="H363" s="456">
        <f t="shared" si="166"/>
        <v>700</v>
      </c>
      <c r="I363" s="456">
        <f t="shared" si="166"/>
        <v>1000</v>
      </c>
      <c r="J363" s="456">
        <f t="shared" si="166"/>
        <v>500</v>
      </c>
      <c r="K363" s="456">
        <f t="shared" si="166"/>
        <v>500</v>
      </c>
      <c r="L363" s="576">
        <f t="shared" si="166"/>
        <v>3767.25</v>
      </c>
      <c r="M363" s="965"/>
      <c r="N363" s="963"/>
    </row>
    <row r="364" spans="1:14" ht="15" x14ac:dyDescent="0.25">
      <c r="A364" s="381" t="s">
        <v>643</v>
      </c>
      <c r="B364" s="487"/>
      <c r="C364" s="377">
        <v>32</v>
      </c>
      <c r="D364" s="388" t="s">
        <v>178</v>
      </c>
      <c r="E364" s="385">
        <v>50000</v>
      </c>
      <c r="F364" s="385">
        <f t="shared" si="166"/>
        <v>5000</v>
      </c>
      <c r="G364" s="385">
        <f t="shared" si="166"/>
        <v>663.61404207313024</v>
      </c>
      <c r="H364" s="385">
        <f t="shared" si="166"/>
        <v>700</v>
      </c>
      <c r="I364" s="385">
        <f t="shared" si="166"/>
        <v>1000</v>
      </c>
      <c r="J364" s="385">
        <f t="shared" si="166"/>
        <v>500</v>
      </c>
      <c r="K364" s="385">
        <f t="shared" si="166"/>
        <v>500</v>
      </c>
      <c r="L364" s="579">
        <f t="shared" si="166"/>
        <v>3767.25</v>
      </c>
      <c r="M364" s="408">
        <f t="shared" ref="M364:N366" si="167">AVERAGE(J364/I364*100)</f>
        <v>50</v>
      </c>
      <c r="N364" s="426">
        <f t="shared" si="167"/>
        <v>100</v>
      </c>
    </row>
    <row r="365" spans="1:14" ht="14.25" x14ac:dyDescent="0.2">
      <c r="A365" s="378" t="s">
        <v>643</v>
      </c>
      <c r="B365" s="486"/>
      <c r="C365" s="390">
        <v>323</v>
      </c>
      <c r="D365" s="391" t="s">
        <v>56</v>
      </c>
      <c r="E365" s="386">
        <v>50000</v>
      </c>
      <c r="F365" s="386">
        <f t="shared" si="166"/>
        <v>5000</v>
      </c>
      <c r="G365" s="386">
        <f t="shared" si="166"/>
        <v>663.61404207313024</v>
      </c>
      <c r="H365" s="386">
        <f t="shared" si="166"/>
        <v>700</v>
      </c>
      <c r="I365" s="386">
        <f t="shared" si="166"/>
        <v>1000</v>
      </c>
      <c r="J365" s="386">
        <f t="shared" si="166"/>
        <v>500</v>
      </c>
      <c r="K365" s="386">
        <f t="shared" si="166"/>
        <v>500</v>
      </c>
      <c r="L365" s="578">
        <f t="shared" si="166"/>
        <v>3767.25</v>
      </c>
      <c r="M365" s="408">
        <f t="shared" si="167"/>
        <v>50</v>
      </c>
      <c r="N365" s="426">
        <f t="shared" si="167"/>
        <v>100</v>
      </c>
    </row>
    <row r="366" spans="1:14" ht="15" thickBot="1" x14ac:dyDescent="0.25">
      <c r="A366" s="431" t="s">
        <v>643</v>
      </c>
      <c r="B366" s="488"/>
      <c r="C366" s="410">
        <v>3232</v>
      </c>
      <c r="D366" s="411" t="s">
        <v>240</v>
      </c>
      <c r="E366" s="412">
        <v>50000</v>
      </c>
      <c r="F366" s="412">
        <v>5000</v>
      </c>
      <c r="G366" s="412">
        <f>F366/7.5345</f>
        <v>663.61404207313024</v>
      </c>
      <c r="H366" s="412">
        <v>700</v>
      </c>
      <c r="I366" s="412">
        <v>1000</v>
      </c>
      <c r="J366" s="412">
        <v>500</v>
      </c>
      <c r="K366" s="412">
        <v>500</v>
      </c>
      <c r="L366" s="580">
        <f>K366*7.5345</f>
        <v>3767.25</v>
      </c>
      <c r="M366" s="477">
        <f t="shared" si="167"/>
        <v>50</v>
      </c>
      <c r="N366" s="478">
        <f t="shared" si="167"/>
        <v>100</v>
      </c>
    </row>
    <row r="367" spans="1:14" s="414" customFormat="1" ht="30" thickTop="1" thickBot="1" x14ac:dyDescent="0.25">
      <c r="A367" s="763"/>
      <c r="B367" s="790"/>
      <c r="C367" s="765"/>
      <c r="D367" s="752" t="s">
        <v>400</v>
      </c>
      <c r="E367" s="766"/>
      <c r="F367" s="722"/>
      <c r="G367" s="722"/>
      <c r="H367" s="722"/>
      <c r="I367" s="722"/>
      <c r="J367" s="722"/>
      <c r="K367" s="722"/>
      <c r="L367" s="753"/>
      <c r="M367" s="968">
        <f>AVERAGE(J369/I369*100)</f>
        <v>113.33333333333333</v>
      </c>
      <c r="N367" s="970">
        <f>AVERAGE(K369/J369*100)</f>
        <v>105.88235294117648</v>
      </c>
    </row>
    <row r="368" spans="1:14" s="116" customFormat="1" ht="16.5" thickTop="1" x14ac:dyDescent="0.25">
      <c r="A368" s="763"/>
      <c r="B368" s="790"/>
      <c r="C368" s="765"/>
      <c r="D368" s="779" t="s">
        <v>512</v>
      </c>
      <c r="E368" s="720"/>
      <c r="F368" s="722"/>
      <c r="G368" s="722"/>
      <c r="H368" s="722"/>
      <c r="I368" s="722"/>
      <c r="J368" s="722"/>
      <c r="K368" s="722"/>
      <c r="L368" s="753"/>
      <c r="M368" s="969"/>
      <c r="N368" s="971"/>
    </row>
    <row r="369" spans="1:14" s="29" customFormat="1" ht="31.5" x14ac:dyDescent="0.25">
      <c r="A369" s="767"/>
      <c r="B369" s="785"/>
      <c r="C369" s="769"/>
      <c r="D369" s="721" t="s">
        <v>653</v>
      </c>
      <c r="E369" s="730">
        <v>50000</v>
      </c>
      <c r="F369" s="706">
        <f>SUM(F370)</f>
        <v>37000</v>
      </c>
      <c r="G369" s="706">
        <f>SUM(G370)</f>
        <v>4910.7439113411638</v>
      </c>
      <c r="H369" s="706">
        <f t="shared" ref="H369:K369" si="168">H370</f>
        <v>10000</v>
      </c>
      <c r="I369" s="706">
        <f t="shared" si="168"/>
        <v>15000</v>
      </c>
      <c r="J369" s="706">
        <f t="shared" si="168"/>
        <v>17000</v>
      </c>
      <c r="K369" s="706">
        <f t="shared" si="168"/>
        <v>18000</v>
      </c>
      <c r="L369" s="771">
        <f>SUM(L370)</f>
        <v>135621</v>
      </c>
      <c r="M369" s="969"/>
      <c r="N369" s="971"/>
    </row>
    <row r="370" spans="1:14" ht="18.75" customHeight="1" x14ac:dyDescent="0.25">
      <c r="A370" s="791" t="s">
        <v>644</v>
      </c>
      <c r="B370" s="732"/>
      <c r="C370" s="733">
        <v>32</v>
      </c>
      <c r="D370" s="734" t="s">
        <v>178</v>
      </c>
      <c r="E370" s="735">
        <v>50000</v>
      </c>
      <c r="F370" s="735">
        <f t="shared" ref="F370:L370" si="169">SUM(F371+F373)</f>
        <v>37000</v>
      </c>
      <c r="G370" s="735">
        <f t="shared" si="169"/>
        <v>4910.7439113411638</v>
      </c>
      <c r="H370" s="735">
        <f t="shared" si="169"/>
        <v>10000</v>
      </c>
      <c r="I370" s="735">
        <f t="shared" si="169"/>
        <v>15000</v>
      </c>
      <c r="J370" s="735">
        <f t="shared" si="169"/>
        <v>17000</v>
      </c>
      <c r="K370" s="735">
        <f t="shared" si="169"/>
        <v>18000</v>
      </c>
      <c r="L370" s="736">
        <f t="shared" si="169"/>
        <v>135621</v>
      </c>
      <c r="M370" s="760">
        <f t="shared" ref="M370:N374" si="170">AVERAGE(J370/I370*100)</f>
        <v>113.33333333333333</v>
      </c>
      <c r="N370" s="761">
        <f t="shared" si="170"/>
        <v>105.88235294117648</v>
      </c>
    </row>
    <row r="371" spans="1:14" ht="14.25" x14ac:dyDescent="0.2">
      <c r="A371" s="792" t="s">
        <v>644</v>
      </c>
      <c r="B371" s="737"/>
      <c r="C371" s="738">
        <v>322</v>
      </c>
      <c r="D371" s="726" t="s">
        <v>52</v>
      </c>
      <c r="E371" s="720">
        <v>50000</v>
      </c>
      <c r="F371" s="720">
        <f t="shared" ref="F371:L371" si="171">SUM(F372)</f>
        <v>30000</v>
      </c>
      <c r="G371" s="720">
        <f t="shared" si="171"/>
        <v>3981.6842524387812</v>
      </c>
      <c r="H371" s="720">
        <f t="shared" si="171"/>
        <v>5000</v>
      </c>
      <c r="I371" s="720">
        <f t="shared" si="171"/>
        <v>10000</v>
      </c>
      <c r="J371" s="720">
        <f t="shared" si="171"/>
        <v>10000</v>
      </c>
      <c r="K371" s="720">
        <f t="shared" si="171"/>
        <v>10000</v>
      </c>
      <c r="L371" s="727">
        <f t="shared" si="171"/>
        <v>75345</v>
      </c>
      <c r="M371" s="760">
        <f t="shared" si="170"/>
        <v>100</v>
      </c>
      <c r="N371" s="761">
        <f t="shared" si="170"/>
        <v>100</v>
      </c>
    </row>
    <row r="372" spans="1:14" ht="14.25" x14ac:dyDescent="0.2">
      <c r="A372" s="792" t="s">
        <v>644</v>
      </c>
      <c r="B372" s="737"/>
      <c r="C372" s="738">
        <v>3225</v>
      </c>
      <c r="D372" s="726" t="s">
        <v>188</v>
      </c>
      <c r="E372" s="720">
        <v>50000</v>
      </c>
      <c r="F372" s="720">
        <v>30000</v>
      </c>
      <c r="G372" s="720">
        <f>F372/7.5345</f>
        <v>3981.6842524387812</v>
      </c>
      <c r="H372" s="720">
        <v>5000</v>
      </c>
      <c r="I372" s="720">
        <v>10000</v>
      </c>
      <c r="J372" s="720">
        <v>10000</v>
      </c>
      <c r="K372" s="720">
        <v>10000</v>
      </c>
      <c r="L372" s="727">
        <f>K372*7.5345</f>
        <v>75345</v>
      </c>
      <c r="M372" s="760">
        <f t="shared" si="170"/>
        <v>100</v>
      </c>
      <c r="N372" s="761">
        <f t="shared" si="170"/>
        <v>100</v>
      </c>
    </row>
    <row r="373" spans="1:14" ht="14.25" x14ac:dyDescent="0.2">
      <c r="A373" s="792" t="s">
        <v>644</v>
      </c>
      <c r="B373" s="737"/>
      <c r="C373" s="738">
        <v>323</v>
      </c>
      <c r="D373" s="726" t="s">
        <v>56</v>
      </c>
      <c r="E373" s="720">
        <v>50000</v>
      </c>
      <c r="F373" s="720">
        <f t="shared" ref="F373:L373" si="172">SUM(F374)</f>
        <v>7000</v>
      </c>
      <c r="G373" s="720">
        <f t="shared" si="172"/>
        <v>929.05965890238235</v>
      </c>
      <c r="H373" s="720">
        <f t="shared" si="172"/>
        <v>5000</v>
      </c>
      <c r="I373" s="720">
        <f t="shared" si="172"/>
        <v>5000</v>
      </c>
      <c r="J373" s="720">
        <f t="shared" si="172"/>
        <v>7000</v>
      </c>
      <c r="K373" s="720">
        <f t="shared" si="172"/>
        <v>8000</v>
      </c>
      <c r="L373" s="727">
        <f t="shared" si="172"/>
        <v>60276</v>
      </c>
      <c r="M373" s="760">
        <f t="shared" si="170"/>
        <v>140</v>
      </c>
      <c r="N373" s="761">
        <f t="shared" si="170"/>
        <v>114.28571428571428</v>
      </c>
    </row>
    <row r="374" spans="1:14" ht="15" thickBot="1" x14ac:dyDescent="0.25">
      <c r="A374" s="756" t="s">
        <v>644</v>
      </c>
      <c r="B374" s="746"/>
      <c r="C374" s="747">
        <v>3239</v>
      </c>
      <c r="D374" s="748" t="s">
        <v>64</v>
      </c>
      <c r="E374" s="749">
        <v>50000</v>
      </c>
      <c r="F374" s="749">
        <v>7000</v>
      </c>
      <c r="G374" s="749">
        <f>F374/7.5345</f>
        <v>929.05965890238235</v>
      </c>
      <c r="H374" s="749">
        <v>5000</v>
      </c>
      <c r="I374" s="749">
        <v>5000</v>
      </c>
      <c r="J374" s="749">
        <v>7000</v>
      </c>
      <c r="K374" s="749">
        <v>8000</v>
      </c>
      <c r="L374" s="750">
        <f>K374*7.5345</f>
        <v>60276</v>
      </c>
      <c r="M374" s="781">
        <f t="shared" si="170"/>
        <v>140</v>
      </c>
      <c r="N374" s="782">
        <f t="shared" si="170"/>
        <v>114.28571428571428</v>
      </c>
    </row>
    <row r="375" spans="1:14" ht="29.25" thickTop="1" x14ac:dyDescent="0.2">
      <c r="A375" s="425"/>
      <c r="B375" s="491"/>
      <c r="C375" s="42"/>
      <c r="D375" s="420" t="s">
        <v>426</v>
      </c>
      <c r="E375" s="396"/>
      <c r="F375" s="395"/>
      <c r="G375" s="395"/>
      <c r="H375" s="395"/>
      <c r="I375" s="395"/>
      <c r="J375" s="395"/>
      <c r="K375" s="395"/>
      <c r="L375" s="575"/>
      <c r="M375" s="964">
        <v>0</v>
      </c>
      <c r="N375" s="962">
        <v>0</v>
      </c>
    </row>
    <row r="376" spans="1:14" s="229" customFormat="1" ht="28.5" x14ac:dyDescent="0.2">
      <c r="A376" s="849"/>
      <c r="B376" s="850"/>
      <c r="C376" s="851"/>
      <c r="D376" s="420" t="s">
        <v>513</v>
      </c>
      <c r="E376" s="852"/>
      <c r="F376" s="853"/>
      <c r="G376" s="853"/>
      <c r="H376" s="853"/>
      <c r="I376" s="853"/>
      <c r="J376" s="853"/>
      <c r="K376" s="853"/>
      <c r="L376" s="854"/>
      <c r="M376" s="965"/>
      <c r="N376" s="963"/>
    </row>
    <row r="377" spans="1:14" s="116" customFormat="1" ht="31.5" x14ac:dyDescent="0.25">
      <c r="A377" s="457"/>
      <c r="B377" s="492"/>
      <c r="D377" s="463" t="s">
        <v>654</v>
      </c>
      <c r="E377" s="458">
        <v>350000</v>
      </c>
      <c r="F377" s="456">
        <f>SUM(F378)</f>
        <v>350000</v>
      </c>
      <c r="G377" s="456">
        <f>SUM(G378)</f>
        <v>46452.982945119118</v>
      </c>
      <c r="H377" s="456">
        <f>SUM(H378+H382)</f>
        <v>70000</v>
      </c>
      <c r="I377" s="456">
        <f t="shared" ref="I377:L377" si="173">SUM(I378+I382)</f>
        <v>70000</v>
      </c>
      <c r="J377" s="456">
        <f t="shared" si="173"/>
        <v>150000</v>
      </c>
      <c r="K377" s="456">
        <f t="shared" si="173"/>
        <v>0</v>
      </c>
      <c r="L377" s="456">
        <f t="shared" si="173"/>
        <v>0</v>
      </c>
      <c r="M377" s="965"/>
      <c r="N377" s="963"/>
    </row>
    <row r="378" spans="1:14" s="29" customFormat="1" ht="15" x14ac:dyDescent="0.25">
      <c r="A378" s="387" t="s">
        <v>645</v>
      </c>
      <c r="B378" s="487"/>
      <c r="C378" s="377">
        <v>45</v>
      </c>
      <c r="D378" s="388" t="s">
        <v>436</v>
      </c>
      <c r="E378" s="385">
        <v>350000</v>
      </c>
      <c r="F378" s="385">
        <f>SUM(F380)</f>
        <v>350000</v>
      </c>
      <c r="G378" s="385">
        <f>SUM(G380)</f>
        <v>46452.982945119118</v>
      </c>
      <c r="H378" s="385">
        <f>SUM(H379)</f>
        <v>50000</v>
      </c>
      <c r="I378" s="385">
        <f>SUM(I379)</f>
        <v>50000</v>
      </c>
      <c r="J378" s="385">
        <f>SUM(J379)</f>
        <v>150000</v>
      </c>
      <c r="K378" s="385">
        <f>SUM(K380)</f>
        <v>0</v>
      </c>
      <c r="L378" s="579">
        <f>SUM(L380)</f>
        <v>0</v>
      </c>
      <c r="M378" s="403">
        <v>0</v>
      </c>
      <c r="N378" s="403">
        <v>0</v>
      </c>
    </row>
    <row r="379" spans="1:14" ht="15" x14ac:dyDescent="0.25">
      <c r="A379" s="389" t="s">
        <v>645</v>
      </c>
      <c r="B379" s="486"/>
      <c r="C379" s="390">
        <v>451</v>
      </c>
      <c r="D379" s="391" t="s">
        <v>488</v>
      </c>
      <c r="E379" s="385"/>
      <c r="F379" s="385"/>
      <c r="G379" s="385"/>
      <c r="H379" s="386">
        <f>SUM(H380+H381)</f>
        <v>50000</v>
      </c>
      <c r="I379" s="386">
        <f>SUM(I380+I381)</f>
        <v>50000</v>
      </c>
      <c r="J379" s="386">
        <f>SUM(J380+J381)</f>
        <v>150000</v>
      </c>
      <c r="K379" s="386">
        <f>SUM(K380)</f>
        <v>0</v>
      </c>
      <c r="L379" s="579"/>
      <c r="M379" s="403">
        <v>0</v>
      </c>
      <c r="N379" s="403">
        <v>0</v>
      </c>
    </row>
    <row r="380" spans="1:14" s="414" customFormat="1" ht="18" customHeight="1" thickBot="1" x14ac:dyDescent="0.25">
      <c r="A380" s="389" t="s">
        <v>645</v>
      </c>
      <c r="B380" s="486"/>
      <c r="C380" s="390">
        <v>4511</v>
      </c>
      <c r="D380" s="391" t="s">
        <v>488</v>
      </c>
      <c r="E380" s="386">
        <v>350000</v>
      </c>
      <c r="F380" s="386">
        <f>SUM(F382)</f>
        <v>350000</v>
      </c>
      <c r="G380" s="386">
        <f>SUM(G382)</f>
        <v>46452.982945119118</v>
      </c>
      <c r="H380" s="386">
        <v>50000</v>
      </c>
      <c r="I380" s="386">
        <v>50000</v>
      </c>
      <c r="J380" s="386">
        <v>75000</v>
      </c>
      <c r="K380" s="386">
        <f t="shared" ref="K380:L381" si="174">SUM(K382)</f>
        <v>0</v>
      </c>
      <c r="L380" s="578">
        <f t="shared" si="174"/>
        <v>0</v>
      </c>
      <c r="M380" s="403">
        <v>0</v>
      </c>
      <c r="N380" s="403">
        <v>0</v>
      </c>
    </row>
    <row r="381" spans="1:14" ht="15" thickTop="1" x14ac:dyDescent="0.2">
      <c r="A381" s="389" t="s">
        <v>645</v>
      </c>
      <c r="B381" s="486"/>
      <c r="C381" s="390">
        <v>4511</v>
      </c>
      <c r="D381" s="391" t="s">
        <v>488</v>
      </c>
      <c r="E381" s="386">
        <v>350000</v>
      </c>
      <c r="F381" s="386">
        <f>SUM(F383)</f>
        <v>0</v>
      </c>
      <c r="G381" s="386">
        <f>SUM(G383)</f>
        <v>0</v>
      </c>
      <c r="H381" s="386">
        <v>0</v>
      </c>
      <c r="I381" s="386">
        <v>0</v>
      </c>
      <c r="J381" s="386">
        <v>75000</v>
      </c>
      <c r="K381" s="386">
        <f t="shared" si="174"/>
        <v>0</v>
      </c>
      <c r="L381" s="578">
        <f t="shared" si="174"/>
        <v>0</v>
      </c>
      <c r="M381" s="403">
        <v>0</v>
      </c>
      <c r="N381" s="403">
        <v>0</v>
      </c>
    </row>
    <row r="382" spans="1:14" ht="33" customHeight="1" x14ac:dyDescent="0.25">
      <c r="A382" s="729" t="s">
        <v>645</v>
      </c>
      <c r="B382" s="732"/>
      <c r="C382" s="733">
        <v>32</v>
      </c>
      <c r="D382" s="388" t="s">
        <v>47</v>
      </c>
      <c r="E382" s="386">
        <v>350000</v>
      </c>
      <c r="F382" s="386">
        <v>350000</v>
      </c>
      <c r="G382" s="386">
        <f>F382/7.5345</f>
        <v>46452.982945119118</v>
      </c>
      <c r="H382" s="385">
        <f>SUM(H383)</f>
        <v>20000</v>
      </c>
      <c r="I382" s="385">
        <f>SUM(I383)</f>
        <v>20000</v>
      </c>
      <c r="J382" s="386">
        <v>0</v>
      </c>
      <c r="K382" s="386">
        <v>0</v>
      </c>
      <c r="L382" s="578">
        <f>K382*7.5345</f>
        <v>0</v>
      </c>
      <c r="M382" s="403">
        <v>0</v>
      </c>
      <c r="N382" s="403">
        <v>0</v>
      </c>
    </row>
    <row r="383" spans="1:14" ht="15" x14ac:dyDescent="0.2">
      <c r="A383" s="729" t="s">
        <v>645</v>
      </c>
      <c r="B383" s="732"/>
      <c r="C383" s="738">
        <v>323</v>
      </c>
      <c r="D383" s="391" t="s">
        <v>487</v>
      </c>
      <c r="E383" s="386"/>
      <c r="F383" s="386"/>
      <c r="G383" s="386"/>
      <c r="H383" s="386">
        <f>SUM(H384)</f>
        <v>20000</v>
      </c>
      <c r="I383" s="386">
        <f>SUM(I384)</f>
        <v>20000</v>
      </c>
      <c r="J383" s="386">
        <v>0</v>
      </c>
      <c r="K383" s="386">
        <v>0</v>
      </c>
      <c r="L383" s="578"/>
      <c r="M383" s="403">
        <v>0</v>
      </c>
      <c r="N383" s="403">
        <v>0</v>
      </c>
    </row>
    <row r="384" spans="1:14" ht="18" customHeight="1" thickBot="1" x14ac:dyDescent="0.25">
      <c r="A384" s="793" t="s">
        <v>645</v>
      </c>
      <c r="B384" s="746"/>
      <c r="C384" s="747">
        <v>3237</v>
      </c>
      <c r="D384" s="411" t="s">
        <v>486</v>
      </c>
      <c r="E384" s="412"/>
      <c r="F384" s="412"/>
      <c r="G384" s="412"/>
      <c r="H384" s="412">
        <v>20000</v>
      </c>
      <c r="I384" s="412">
        <v>20000</v>
      </c>
      <c r="J384" s="412"/>
      <c r="K384" s="412">
        <v>0</v>
      </c>
      <c r="L384" s="580"/>
      <c r="M384" s="413">
        <v>0</v>
      </c>
      <c r="N384" s="413">
        <v>0</v>
      </c>
    </row>
    <row r="385" spans="1:14" s="116" customFormat="1" ht="30" thickTop="1" x14ac:dyDescent="0.25">
      <c r="A385" s="425"/>
      <c r="B385" s="491"/>
      <c r="C385" s="42"/>
      <c r="D385" s="420" t="s">
        <v>426</v>
      </c>
      <c r="E385" s="396"/>
      <c r="F385" s="395"/>
      <c r="G385" s="395"/>
      <c r="H385" s="395"/>
      <c r="I385" s="395"/>
      <c r="J385" s="395"/>
      <c r="K385" s="395"/>
      <c r="L385" s="575"/>
      <c r="M385" s="964">
        <v>0</v>
      </c>
      <c r="N385" s="967" t="e">
        <f>AVERAGE(K387/J387*100)</f>
        <v>#DIV/0!</v>
      </c>
    </row>
    <row r="386" spans="1:14" ht="14.25" x14ac:dyDescent="0.2">
      <c r="A386" s="425"/>
      <c r="B386" s="491"/>
      <c r="C386" s="42"/>
      <c r="D386" s="419" t="s">
        <v>509</v>
      </c>
      <c r="E386" s="386"/>
      <c r="F386" s="395"/>
      <c r="G386" s="395"/>
      <c r="H386" s="395"/>
      <c r="I386" s="395"/>
      <c r="J386" s="395"/>
      <c r="K386" s="395"/>
      <c r="L386" s="575"/>
      <c r="M386" s="965"/>
      <c r="N386" s="963"/>
    </row>
    <row r="387" spans="1:14" s="496" customFormat="1" ht="31.5" x14ac:dyDescent="0.25">
      <c r="A387" s="457"/>
      <c r="B387" s="492"/>
      <c r="C387" s="116"/>
      <c r="D387" s="463" t="s">
        <v>655</v>
      </c>
      <c r="E387" s="458">
        <v>350000</v>
      </c>
      <c r="F387" s="456">
        <f t="shared" ref="F387:L388" si="175">SUM(F388)</f>
        <v>0</v>
      </c>
      <c r="G387" s="456">
        <f t="shared" si="175"/>
        <v>0</v>
      </c>
      <c r="H387" s="456">
        <f t="shared" si="175"/>
        <v>0</v>
      </c>
      <c r="I387" s="456">
        <f t="shared" si="175"/>
        <v>0</v>
      </c>
      <c r="J387" s="456">
        <f t="shared" si="175"/>
        <v>0</v>
      </c>
      <c r="K387" s="456">
        <f t="shared" si="175"/>
        <v>50000</v>
      </c>
      <c r="L387" s="576">
        <f t="shared" si="175"/>
        <v>150690</v>
      </c>
      <c r="M387" s="965"/>
      <c r="N387" s="963"/>
    </row>
    <row r="388" spans="1:14" ht="15" x14ac:dyDescent="0.25">
      <c r="A388" s="381" t="s">
        <v>646</v>
      </c>
      <c r="B388" s="487"/>
      <c r="C388" s="377">
        <v>32</v>
      </c>
      <c r="D388" s="388" t="s">
        <v>178</v>
      </c>
      <c r="E388" s="385">
        <v>350000</v>
      </c>
      <c r="F388" s="385">
        <f t="shared" si="175"/>
        <v>0</v>
      </c>
      <c r="G388" s="385">
        <f t="shared" si="175"/>
        <v>0</v>
      </c>
      <c r="H388" s="385">
        <f t="shared" si="175"/>
        <v>0</v>
      </c>
      <c r="I388" s="385">
        <f t="shared" si="175"/>
        <v>0</v>
      </c>
      <c r="J388" s="385">
        <f t="shared" si="175"/>
        <v>0</v>
      </c>
      <c r="K388" s="385">
        <f t="shared" si="175"/>
        <v>50000</v>
      </c>
      <c r="L388" s="579">
        <f t="shared" si="175"/>
        <v>150690</v>
      </c>
      <c r="M388" s="408">
        <v>0</v>
      </c>
      <c r="N388" s="426" t="e">
        <f>AVERAGE(K388/J388*100)</f>
        <v>#DIV/0!</v>
      </c>
    </row>
    <row r="389" spans="1:14" ht="14.25" x14ac:dyDescent="0.2">
      <c r="A389" s="378" t="s">
        <v>646</v>
      </c>
      <c r="B389" s="486"/>
      <c r="C389" s="390">
        <v>323</v>
      </c>
      <c r="D389" s="391" t="s">
        <v>56</v>
      </c>
      <c r="E389" s="386">
        <v>350000</v>
      </c>
      <c r="F389" s="386">
        <f>SUM(F391)</f>
        <v>0</v>
      </c>
      <c r="G389" s="386">
        <f>SUM(G391)</f>
        <v>0</v>
      </c>
      <c r="H389" s="386">
        <f>SUM(H391)</f>
        <v>0</v>
      </c>
      <c r="I389" s="386">
        <f>SUM(I391)</f>
        <v>0</v>
      </c>
      <c r="J389" s="386">
        <f>SUM(J391+J390)</f>
        <v>0</v>
      </c>
      <c r="K389" s="386">
        <f t="shared" ref="K389" si="176">SUM(K391+K390)</f>
        <v>50000</v>
      </c>
      <c r="L389" s="578">
        <f>SUM(L391)</f>
        <v>150690</v>
      </c>
      <c r="M389" s="408">
        <v>0</v>
      </c>
      <c r="N389" s="426" t="e">
        <f>AVERAGE(K389/J389*100)</f>
        <v>#DIV/0!</v>
      </c>
    </row>
    <row r="390" spans="1:14" s="680" customFormat="1" ht="21.75" customHeight="1" thickBot="1" x14ac:dyDescent="0.3">
      <c r="A390" s="431" t="s">
        <v>646</v>
      </c>
      <c r="B390" s="488"/>
      <c r="C390" s="410">
        <v>3232</v>
      </c>
      <c r="D390" s="411" t="s">
        <v>240</v>
      </c>
      <c r="E390" s="412">
        <v>350000</v>
      </c>
      <c r="F390" s="412">
        <v>0</v>
      </c>
      <c r="G390" s="412">
        <f>F390/7.5345</f>
        <v>0</v>
      </c>
      <c r="H390" s="412">
        <f>F390/7.5345</f>
        <v>0</v>
      </c>
      <c r="I390" s="412">
        <v>0</v>
      </c>
      <c r="J390" s="412">
        <v>0</v>
      </c>
      <c r="K390" s="412">
        <v>30000</v>
      </c>
      <c r="L390" s="580">
        <f>K390*7.5345</f>
        <v>226035</v>
      </c>
      <c r="M390" s="477">
        <v>0</v>
      </c>
      <c r="N390" s="478" t="e">
        <f>AVERAGE(K390/J390*100)</f>
        <v>#DIV/0!</v>
      </c>
    </row>
    <row r="391" spans="1:14" s="29" customFormat="1" ht="15.75" thickTop="1" thickBot="1" x14ac:dyDescent="0.25">
      <c r="A391" s="431" t="s">
        <v>646</v>
      </c>
      <c r="B391" s="488"/>
      <c r="C391" s="410">
        <v>3232</v>
      </c>
      <c r="D391" s="411" t="s">
        <v>240</v>
      </c>
      <c r="E391" s="412">
        <v>350000</v>
      </c>
      <c r="F391" s="412">
        <v>0</v>
      </c>
      <c r="G391" s="412">
        <f>F391/7.5345</f>
        <v>0</v>
      </c>
      <c r="H391" s="412">
        <f>F391/7.5345</f>
        <v>0</v>
      </c>
      <c r="I391" s="412">
        <v>0</v>
      </c>
      <c r="J391" s="412">
        <v>0</v>
      </c>
      <c r="K391" s="412">
        <v>20000</v>
      </c>
      <c r="L391" s="580">
        <f>K391*7.5345</f>
        <v>150690</v>
      </c>
      <c r="M391" s="477">
        <v>0</v>
      </c>
      <c r="N391" s="478" t="e">
        <f>AVERAGE(K391/J391*100)</f>
        <v>#DIV/0!</v>
      </c>
    </row>
    <row r="392" spans="1:14" ht="19.5" thickTop="1" thickBot="1" x14ac:dyDescent="0.25">
      <c r="A392" s="959" t="s">
        <v>656</v>
      </c>
      <c r="B392" s="960"/>
      <c r="C392" s="960"/>
      <c r="D392" s="961"/>
      <c r="E392" s="708" t="e">
        <f>SUM(E395+#REF!+#REF!+E401+E407)</f>
        <v>#REF!</v>
      </c>
      <c r="F392" s="708" t="e">
        <f>SUM(F395+F401+F407+F418+#REF!+F425)</f>
        <v>#REF!</v>
      </c>
      <c r="G392" s="708" t="e">
        <f>SUM(G395+G401+G407+G418+#REF!+G425)</f>
        <v>#REF!</v>
      </c>
      <c r="H392" s="708">
        <f>SUM(H395+H401+H407+H418+H425)</f>
        <v>373500</v>
      </c>
      <c r="I392" s="708">
        <f>SUM(I395+I401+I407+I418+I425+I433)</f>
        <v>526000</v>
      </c>
      <c r="J392" s="708">
        <f>SUM(J395+J401+J407+J418+J425+J433)</f>
        <v>735000</v>
      </c>
      <c r="K392" s="708">
        <f>SUM(K395+K401+K407+K418+K425+K433)</f>
        <v>1836000</v>
      </c>
      <c r="L392" s="709" t="e">
        <f>SUM(L395+L401+L407+L418+#REF!+L425)</f>
        <v>#REF!</v>
      </c>
      <c r="M392" s="710">
        <f>AVERAGE(J392/I392*100)</f>
        <v>139.73384030418251</v>
      </c>
      <c r="N392" s="711">
        <f>AVERAGE(K392/J392*100)</f>
        <v>249.79591836734696</v>
      </c>
    </row>
    <row r="393" spans="1:14" ht="28.5" x14ac:dyDescent="0.2">
      <c r="A393" s="425"/>
      <c r="B393" s="42"/>
      <c r="C393" s="42"/>
      <c r="D393" s="420" t="s">
        <v>426</v>
      </c>
      <c r="E393" s="396"/>
      <c r="F393" s="395"/>
      <c r="G393" s="395"/>
      <c r="H393" s="395"/>
      <c r="I393" s="395"/>
      <c r="J393" s="395"/>
      <c r="K393" s="395"/>
      <c r="L393" s="575"/>
      <c r="M393" s="964">
        <f>AVERAGE(J395/I395*100)</f>
        <v>8.3333333333333321</v>
      </c>
      <c r="N393" s="962">
        <f>AVERAGE(K395/J395*100)</f>
        <v>100</v>
      </c>
    </row>
    <row r="394" spans="1:14" s="825" customFormat="1" ht="14.25" x14ac:dyDescent="0.2">
      <c r="A394" s="425"/>
      <c r="B394" s="42"/>
      <c r="C394" s="42"/>
      <c r="D394" s="419" t="s">
        <v>509</v>
      </c>
      <c r="E394" s="386"/>
      <c r="F394" s="395"/>
      <c r="G394" s="395"/>
      <c r="H394" s="395"/>
      <c r="I394" s="395"/>
      <c r="J394" s="395"/>
      <c r="K394" s="395"/>
      <c r="L394" s="575"/>
      <c r="M394" s="965"/>
      <c r="N394" s="963"/>
    </row>
    <row r="395" spans="1:14" ht="47.25" x14ac:dyDescent="0.25">
      <c r="A395" s="457"/>
      <c r="B395" s="116"/>
      <c r="C395" s="116"/>
      <c r="D395" s="463" t="s">
        <v>704</v>
      </c>
      <c r="E395" s="458">
        <v>120000</v>
      </c>
      <c r="F395" s="456">
        <f t="shared" ref="F395:L397" si="177">SUM(F396)</f>
        <v>100000</v>
      </c>
      <c r="G395" s="456">
        <f t="shared" si="177"/>
        <v>13272.280841462605</v>
      </c>
      <c r="H395" s="456">
        <f t="shared" si="177"/>
        <v>13500</v>
      </c>
      <c r="I395" s="456">
        <f t="shared" si="177"/>
        <v>120000</v>
      </c>
      <c r="J395" s="456">
        <f t="shared" si="177"/>
        <v>10000</v>
      </c>
      <c r="K395" s="456">
        <f t="shared" si="177"/>
        <v>10000</v>
      </c>
      <c r="L395" s="576">
        <f t="shared" si="177"/>
        <v>75345</v>
      </c>
      <c r="M395" s="965"/>
      <c r="N395" s="963"/>
    </row>
    <row r="396" spans="1:14" s="229" customFormat="1" ht="13.5" customHeight="1" x14ac:dyDescent="0.25">
      <c r="A396" s="381" t="s">
        <v>565</v>
      </c>
      <c r="B396" s="487"/>
      <c r="C396" s="377">
        <v>41</v>
      </c>
      <c r="D396" s="388" t="s">
        <v>246</v>
      </c>
      <c r="E396" s="385">
        <v>120000</v>
      </c>
      <c r="F396" s="385">
        <f t="shared" si="177"/>
        <v>100000</v>
      </c>
      <c r="G396" s="385">
        <f t="shared" si="177"/>
        <v>13272.280841462605</v>
      </c>
      <c r="H396" s="385">
        <f t="shared" si="177"/>
        <v>13500</v>
      </c>
      <c r="I396" s="385">
        <f t="shared" si="177"/>
        <v>120000</v>
      </c>
      <c r="J396" s="385">
        <f t="shared" si="177"/>
        <v>10000</v>
      </c>
      <c r="K396" s="385">
        <f t="shared" si="177"/>
        <v>10000</v>
      </c>
      <c r="L396" s="579">
        <f t="shared" si="177"/>
        <v>75345</v>
      </c>
      <c r="M396" s="408">
        <f t="shared" ref="M396:N398" si="178">AVERAGE(J396/I396*100)</f>
        <v>8.3333333333333321</v>
      </c>
      <c r="N396" s="426">
        <f t="shared" si="178"/>
        <v>100</v>
      </c>
    </row>
    <row r="397" spans="1:14" ht="14.25" x14ac:dyDescent="0.2">
      <c r="A397" s="378" t="s">
        <v>565</v>
      </c>
      <c r="B397" s="486"/>
      <c r="C397" s="390">
        <v>411</v>
      </c>
      <c r="D397" s="391" t="s">
        <v>95</v>
      </c>
      <c r="E397" s="386">
        <v>120000</v>
      </c>
      <c r="F397" s="386">
        <f t="shared" si="177"/>
        <v>100000</v>
      </c>
      <c r="G397" s="386">
        <f t="shared" si="177"/>
        <v>13272.280841462605</v>
      </c>
      <c r="H397" s="386">
        <f t="shared" si="177"/>
        <v>13500</v>
      </c>
      <c r="I397" s="386">
        <f t="shared" si="177"/>
        <v>120000</v>
      </c>
      <c r="J397" s="386">
        <f t="shared" si="177"/>
        <v>10000</v>
      </c>
      <c r="K397" s="386">
        <f t="shared" si="177"/>
        <v>10000</v>
      </c>
      <c r="L397" s="578">
        <f t="shared" si="177"/>
        <v>75345</v>
      </c>
      <c r="M397" s="408">
        <f t="shared" si="178"/>
        <v>8.3333333333333321</v>
      </c>
      <c r="N397" s="426">
        <f t="shared" si="178"/>
        <v>100</v>
      </c>
    </row>
    <row r="398" spans="1:14" ht="15" thickBot="1" x14ac:dyDescent="0.25">
      <c r="A398" s="431" t="s">
        <v>565</v>
      </c>
      <c r="B398" s="488"/>
      <c r="C398" s="410">
        <v>4111</v>
      </c>
      <c r="D398" s="411" t="s">
        <v>40</v>
      </c>
      <c r="E398" s="412">
        <v>120000</v>
      </c>
      <c r="F398" s="412">
        <v>100000</v>
      </c>
      <c r="G398" s="412">
        <f>F398/7.5345</f>
        <v>13272.280841462605</v>
      </c>
      <c r="H398" s="412">
        <v>13500</v>
      </c>
      <c r="I398" s="412">
        <v>120000</v>
      </c>
      <c r="J398" s="412">
        <v>10000</v>
      </c>
      <c r="K398" s="412">
        <v>10000</v>
      </c>
      <c r="L398" s="580">
        <f>K398*7.5345</f>
        <v>75345</v>
      </c>
      <c r="M398" s="477">
        <f t="shared" si="178"/>
        <v>8.3333333333333321</v>
      </c>
      <c r="N398" s="478">
        <f t="shared" si="178"/>
        <v>100</v>
      </c>
    </row>
    <row r="399" spans="1:14" s="414" customFormat="1" ht="30" thickTop="1" thickBot="1" x14ac:dyDescent="0.25">
      <c r="A399" s="425"/>
      <c r="B399" s="491"/>
      <c r="C399" s="42"/>
      <c r="D399" s="420" t="s">
        <v>426</v>
      </c>
      <c r="E399" s="396"/>
      <c r="F399" s="395"/>
      <c r="G399" s="395"/>
      <c r="H399" s="395"/>
      <c r="I399" s="395"/>
      <c r="J399" s="395"/>
      <c r="K399" s="395"/>
      <c r="L399" s="575"/>
      <c r="M399" s="964">
        <f>AVERAGE(J401/I401*100)</f>
        <v>100</v>
      </c>
      <c r="N399" s="962">
        <f>AVERAGE(K401/J401*100)</f>
        <v>50</v>
      </c>
    </row>
    <row r="400" spans="1:14" s="116" customFormat="1" ht="16.5" thickTop="1" x14ac:dyDescent="0.25">
      <c r="A400" s="425"/>
      <c r="B400" s="491"/>
      <c r="C400" s="42"/>
      <c r="D400" s="419" t="s">
        <v>514</v>
      </c>
      <c r="E400" s="386"/>
      <c r="F400" s="395"/>
      <c r="G400" s="395"/>
      <c r="H400" s="395"/>
      <c r="I400" s="395"/>
      <c r="J400" s="395"/>
      <c r="K400" s="395"/>
      <c r="L400" s="575"/>
      <c r="M400" s="965"/>
      <c r="N400" s="963"/>
    </row>
    <row r="401" spans="1:14" s="29" customFormat="1" ht="15.75" x14ac:dyDescent="0.25">
      <c r="A401" s="457"/>
      <c r="B401" s="492"/>
      <c r="C401" s="116"/>
      <c r="D401" s="463" t="s">
        <v>705</v>
      </c>
      <c r="E401" s="458">
        <v>300000</v>
      </c>
      <c r="F401" s="456">
        <f t="shared" ref="F401:L403" si="179">SUM(F402)</f>
        <v>100000</v>
      </c>
      <c r="G401" s="456">
        <f t="shared" si="179"/>
        <v>13272.280841462605</v>
      </c>
      <c r="H401" s="456">
        <f t="shared" si="179"/>
        <v>20000</v>
      </c>
      <c r="I401" s="456">
        <f t="shared" si="179"/>
        <v>20000</v>
      </c>
      <c r="J401" s="456">
        <f t="shared" si="179"/>
        <v>20000</v>
      </c>
      <c r="K401" s="456">
        <f t="shared" si="179"/>
        <v>10000</v>
      </c>
      <c r="L401" s="576">
        <f t="shared" si="179"/>
        <v>75345</v>
      </c>
      <c r="M401" s="965"/>
      <c r="N401" s="963"/>
    </row>
    <row r="402" spans="1:14" ht="15" x14ac:dyDescent="0.25">
      <c r="A402" s="381" t="s">
        <v>566</v>
      </c>
      <c r="B402" s="487"/>
      <c r="C402" s="377">
        <v>42</v>
      </c>
      <c r="D402" s="388" t="s">
        <v>248</v>
      </c>
      <c r="E402" s="385">
        <v>300000</v>
      </c>
      <c r="F402" s="385">
        <f t="shared" si="179"/>
        <v>100000</v>
      </c>
      <c r="G402" s="385">
        <f t="shared" si="179"/>
        <v>13272.280841462605</v>
      </c>
      <c r="H402" s="385">
        <f t="shared" si="179"/>
        <v>20000</v>
      </c>
      <c r="I402" s="385">
        <f t="shared" si="179"/>
        <v>20000</v>
      </c>
      <c r="J402" s="385">
        <f t="shared" si="179"/>
        <v>20000</v>
      </c>
      <c r="K402" s="385">
        <f t="shared" si="179"/>
        <v>10000</v>
      </c>
      <c r="L402" s="579">
        <f t="shared" si="179"/>
        <v>75345</v>
      </c>
      <c r="M402" s="408">
        <f t="shared" ref="M402:N404" si="180">AVERAGE(J402/I402*100)</f>
        <v>100</v>
      </c>
      <c r="N402" s="426">
        <f t="shared" si="180"/>
        <v>50</v>
      </c>
    </row>
    <row r="403" spans="1:14" ht="14.25" x14ac:dyDescent="0.2">
      <c r="A403" s="378" t="s">
        <v>566</v>
      </c>
      <c r="B403" s="486"/>
      <c r="C403" s="390">
        <v>421</v>
      </c>
      <c r="D403" s="391" t="s">
        <v>97</v>
      </c>
      <c r="E403" s="386">
        <v>300000</v>
      </c>
      <c r="F403" s="386">
        <f t="shared" si="179"/>
        <v>100000</v>
      </c>
      <c r="G403" s="386">
        <f t="shared" si="179"/>
        <v>13272.280841462605</v>
      </c>
      <c r="H403" s="386">
        <f t="shared" si="179"/>
        <v>20000</v>
      </c>
      <c r="I403" s="386">
        <f t="shared" si="179"/>
        <v>20000</v>
      </c>
      <c r="J403" s="386">
        <f t="shared" si="179"/>
        <v>20000</v>
      </c>
      <c r="K403" s="386">
        <f t="shared" si="179"/>
        <v>10000</v>
      </c>
      <c r="L403" s="578">
        <f t="shared" si="179"/>
        <v>75345</v>
      </c>
      <c r="M403" s="408">
        <f t="shared" si="180"/>
        <v>100</v>
      </c>
      <c r="N403" s="426">
        <f t="shared" si="180"/>
        <v>50</v>
      </c>
    </row>
    <row r="404" spans="1:14" ht="15" thickBot="1" x14ac:dyDescent="0.25">
      <c r="A404" s="431" t="s">
        <v>566</v>
      </c>
      <c r="B404" s="488"/>
      <c r="C404" s="410">
        <v>4214</v>
      </c>
      <c r="D404" s="411" t="s">
        <v>249</v>
      </c>
      <c r="E404" s="412">
        <v>300000</v>
      </c>
      <c r="F404" s="412">
        <v>100000</v>
      </c>
      <c r="G404" s="412">
        <f>F404/7.5345</f>
        <v>13272.280841462605</v>
      </c>
      <c r="H404" s="412">
        <v>20000</v>
      </c>
      <c r="I404" s="412">
        <v>20000</v>
      </c>
      <c r="J404" s="412">
        <v>20000</v>
      </c>
      <c r="K404" s="412">
        <v>10000</v>
      </c>
      <c r="L404" s="580">
        <f>K404*7.5345</f>
        <v>75345</v>
      </c>
      <c r="M404" s="477">
        <f t="shared" si="180"/>
        <v>100</v>
      </c>
      <c r="N404" s="478">
        <f t="shared" si="180"/>
        <v>50</v>
      </c>
    </row>
    <row r="405" spans="1:14" ht="29.25" thickTop="1" x14ac:dyDescent="0.2">
      <c r="A405" s="763"/>
      <c r="B405" s="790"/>
      <c r="C405" s="765"/>
      <c r="D405" s="752" t="s">
        <v>426</v>
      </c>
      <c r="E405" s="766"/>
      <c r="F405" s="722"/>
      <c r="G405" s="722"/>
      <c r="H405" s="722"/>
      <c r="I405" s="722"/>
      <c r="J405" s="722"/>
      <c r="K405" s="722"/>
      <c r="L405" s="753"/>
      <c r="M405" s="968">
        <f>AVERAGE(J407/I407*100)</f>
        <v>387.5</v>
      </c>
      <c r="N405" s="970">
        <f>AVERAGE(K407/J407*100)</f>
        <v>98.924731182795696</v>
      </c>
    </row>
    <row r="406" spans="1:14" ht="28.5" x14ac:dyDescent="0.2">
      <c r="A406" s="763"/>
      <c r="B406" s="790"/>
      <c r="C406" s="765"/>
      <c r="D406" s="752" t="s">
        <v>510</v>
      </c>
      <c r="E406" s="720"/>
      <c r="F406" s="722"/>
      <c r="G406" s="722"/>
      <c r="H406" s="722"/>
      <c r="I406" s="722"/>
      <c r="J406" s="722"/>
      <c r="K406" s="722"/>
      <c r="L406" s="753"/>
      <c r="M406" s="969"/>
      <c r="N406" s="971"/>
    </row>
    <row r="407" spans="1:14" ht="15.75" x14ac:dyDescent="0.25">
      <c r="A407" s="767"/>
      <c r="B407" s="785"/>
      <c r="C407" s="769"/>
      <c r="D407" s="721" t="s">
        <v>706</v>
      </c>
      <c r="E407" s="730">
        <v>1472500</v>
      </c>
      <c r="F407" s="706">
        <f t="shared" ref="F407:L407" si="181">SUM(F408)</f>
        <v>1770000</v>
      </c>
      <c r="G407" s="706">
        <f t="shared" si="181"/>
        <v>234919.37089388812</v>
      </c>
      <c r="H407" s="706">
        <f t="shared" si="181"/>
        <v>245000</v>
      </c>
      <c r="I407" s="706">
        <f t="shared" si="181"/>
        <v>120000</v>
      </c>
      <c r="J407" s="706">
        <f t="shared" si="181"/>
        <v>465000</v>
      </c>
      <c r="K407" s="706">
        <f t="shared" si="181"/>
        <v>460000</v>
      </c>
      <c r="L407" s="771">
        <f t="shared" si="181"/>
        <v>9870195</v>
      </c>
      <c r="M407" s="969"/>
      <c r="N407" s="971"/>
    </row>
    <row r="408" spans="1:14" ht="15" x14ac:dyDescent="0.25">
      <c r="A408" s="791" t="s">
        <v>567</v>
      </c>
      <c r="B408" s="732"/>
      <c r="C408" s="733">
        <v>42</v>
      </c>
      <c r="D408" s="734" t="s">
        <v>248</v>
      </c>
      <c r="E408" s="735">
        <v>1472500</v>
      </c>
      <c r="F408" s="735">
        <f t="shared" ref="F408:L408" si="182">SUM(F409)</f>
        <v>1770000</v>
      </c>
      <c r="G408" s="735">
        <f t="shared" si="182"/>
        <v>234919.37089388812</v>
      </c>
      <c r="H408" s="735">
        <f t="shared" ref="H408:K408" si="183">SUM(H409+H414)</f>
        <v>245000</v>
      </c>
      <c r="I408" s="735">
        <f t="shared" si="183"/>
        <v>120000</v>
      </c>
      <c r="J408" s="735">
        <f t="shared" si="183"/>
        <v>465000</v>
      </c>
      <c r="K408" s="735">
        <f t="shared" si="183"/>
        <v>460000</v>
      </c>
      <c r="L408" s="736">
        <f t="shared" si="182"/>
        <v>9870195</v>
      </c>
      <c r="M408" s="760">
        <f>AVERAGE(J408/I408*100)</f>
        <v>387.5</v>
      </c>
      <c r="N408" s="761">
        <f>AVERAGE(K408/J408*100)</f>
        <v>98.924731182795696</v>
      </c>
    </row>
    <row r="409" spans="1:14" ht="14.25" x14ac:dyDescent="0.2">
      <c r="A409" s="792" t="s">
        <v>567</v>
      </c>
      <c r="B409" s="737"/>
      <c r="C409" s="738">
        <v>421</v>
      </c>
      <c r="D409" s="726" t="s">
        <v>97</v>
      </c>
      <c r="E409" s="720">
        <v>1472500</v>
      </c>
      <c r="F409" s="720">
        <f>SUM(F410:F415)</f>
        <v>1770000</v>
      </c>
      <c r="G409" s="720">
        <f>SUM(G410:G415)</f>
        <v>234919.37089388812</v>
      </c>
      <c r="H409" s="720">
        <f>SUM(H410:H412)</f>
        <v>220000</v>
      </c>
      <c r="I409" s="720">
        <f t="shared" ref="I409" si="184">SUM(I410:I413)</f>
        <v>100000</v>
      </c>
      <c r="J409" s="720">
        <f>SUM(J410:J413)</f>
        <v>455000</v>
      </c>
      <c r="K409" s="720">
        <f t="shared" ref="K409" si="185">SUM(K410:K413)</f>
        <v>450000</v>
      </c>
      <c r="L409" s="727">
        <f>SUM(L410:L415)</f>
        <v>9870195</v>
      </c>
      <c r="M409" s="760">
        <f>AVERAGE(J409/I409*100)</f>
        <v>455</v>
      </c>
      <c r="N409" s="761">
        <f>AVERAGE(K409/J409*100)</f>
        <v>98.901098901098905</v>
      </c>
    </row>
    <row r="410" spans="1:14" s="604" customFormat="1" ht="15.75" x14ac:dyDescent="0.2">
      <c r="A410" s="792" t="s">
        <v>567</v>
      </c>
      <c r="B410" s="737"/>
      <c r="C410" s="738">
        <v>4213</v>
      </c>
      <c r="D410" s="726" t="s">
        <v>496</v>
      </c>
      <c r="E410" s="720">
        <v>1472500</v>
      </c>
      <c r="F410" s="720">
        <v>285000</v>
      </c>
      <c r="G410" s="720">
        <f>F410/7.5345</f>
        <v>37826.00039816842</v>
      </c>
      <c r="H410" s="720">
        <v>60000</v>
      </c>
      <c r="I410" s="720">
        <v>80000</v>
      </c>
      <c r="J410" s="720">
        <v>70000</v>
      </c>
      <c r="K410" s="720">
        <v>80000</v>
      </c>
      <c r="L410" s="727">
        <f>K410*7.5345</f>
        <v>602760</v>
      </c>
      <c r="M410" s="760">
        <f>AVERAGE(J410/I410*100)</f>
        <v>87.5</v>
      </c>
      <c r="N410" s="761">
        <v>0</v>
      </c>
    </row>
    <row r="411" spans="1:14" s="29" customFormat="1" ht="14.25" x14ac:dyDescent="0.2">
      <c r="A411" s="792" t="s">
        <v>567</v>
      </c>
      <c r="B411" s="737"/>
      <c r="C411" s="738">
        <v>4213</v>
      </c>
      <c r="D411" s="726" t="s">
        <v>496</v>
      </c>
      <c r="E411" s="720">
        <v>1472500</v>
      </c>
      <c r="F411" s="720">
        <v>285000</v>
      </c>
      <c r="G411" s="720">
        <f>F411/7.5345</f>
        <v>37826.00039816842</v>
      </c>
      <c r="H411" s="720">
        <v>60000</v>
      </c>
      <c r="I411" s="720">
        <v>20000</v>
      </c>
      <c r="J411" s="720">
        <v>35000</v>
      </c>
      <c r="K411" s="720">
        <v>20000</v>
      </c>
      <c r="L411" s="727">
        <f>K411*7.5345</f>
        <v>150690</v>
      </c>
      <c r="M411" s="760">
        <f>AVERAGE(J411/I411*100)</f>
        <v>175</v>
      </c>
      <c r="N411" s="761">
        <v>0</v>
      </c>
    </row>
    <row r="412" spans="1:14" ht="14.25" x14ac:dyDescent="0.2">
      <c r="A412" s="792" t="s">
        <v>567</v>
      </c>
      <c r="B412" s="737"/>
      <c r="C412" s="738">
        <v>4213</v>
      </c>
      <c r="D412" s="726" t="s">
        <v>431</v>
      </c>
      <c r="E412" s="720">
        <v>1472500</v>
      </c>
      <c r="F412" s="720">
        <v>0</v>
      </c>
      <c r="G412" s="720">
        <f>F412/7.5345</f>
        <v>0</v>
      </c>
      <c r="H412" s="720">
        <v>100000</v>
      </c>
      <c r="I412" s="720">
        <v>0</v>
      </c>
      <c r="J412" s="720">
        <v>300000</v>
      </c>
      <c r="K412" s="720">
        <v>300000</v>
      </c>
      <c r="L412" s="727">
        <f>K412*7.5345</f>
        <v>2260350</v>
      </c>
      <c r="M412" s="728">
        <v>0</v>
      </c>
      <c r="N412" s="775">
        <f>AVERAGE(K412/J412*100)</f>
        <v>100</v>
      </c>
    </row>
    <row r="413" spans="1:14" ht="15" customHeight="1" x14ac:dyDescent="0.2">
      <c r="A413" s="792" t="s">
        <v>567</v>
      </c>
      <c r="B413" s="737"/>
      <c r="C413" s="738">
        <v>4213</v>
      </c>
      <c r="D413" s="726" t="s">
        <v>431</v>
      </c>
      <c r="E413" s="720">
        <v>1472500</v>
      </c>
      <c r="F413" s="720">
        <v>0</v>
      </c>
      <c r="G413" s="720">
        <f>F413/7.5345</f>
        <v>0</v>
      </c>
      <c r="H413" s="720">
        <v>100000</v>
      </c>
      <c r="I413" s="720">
        <v>0</v>
      </c>
      <c r="J413" s="720">
        <v>50000</v>
      </c>
      <c r="K413" s="720">
        <v>50000</v>
      </c>
      <c r="L413" s="727">
        <f>K413*7.5345</f>
        <v>376725</v>
      </c>
      <c r="M413" s="728">
        <v>0</v>
      </c>
      <c r="N413" s="775">
        <f>AVERAGE(K413/J413*100)</f>
        <v>100</v>
      </c>
    </row>
    <row r="414" spans="1:14" ht="14.25" x14ac:dyDescent="0.2">
      <c r="A414" s="394" t="s">
        <v>567</v>
      </c>
      <c r="B414" s="486"/>
      <c r="C414" s="390">
        <v>323</v>
      </c>
      <c r="D414" s="391" t="s">
        <v>56</v>
      </c>
      <c r="E414" s="386">
        <f>SUM(E415:E422)</f>
        <v>1640000</v>
      </c>
      <c r="F414" s="386">
        <f>SUM(F415:F422)</f>
        <v>1000000</v>
      </c>
      <c r="G414" s="386">
        <f>SUM(G415:G422)</f>
        <v>132722.80841462605</v>
      </c>
      <c r="H414" s="386">
        <f t="shared" ref="H414:K414" si="186">(H415)</f>
        <v>25000</v>
      </c>
      <c r="I414" s="386">
        <f t="shared" si="186"/>
        <v>20000</v>
      </c>
      <c r="J414" s="386">
        <f t="shared" si="186"/>
        <v>10000</v>
      </c>
      <c r="K414" s="386">
        <f t="shared" si="186"/>
        <v>10000</v>
      </c>
      <c r="L414" s="578">
        <f>SUM(L415:L422)</f>
        <v>6404325</v>
      </c>
      <c r="M414" s="408">
        <f>AVERAGE(J414/I414*100)</f>
        <v>50</v>
      </c>
      <c r="N414" s="426">
        <f>AVERAGE(K414/J414*100)</f>
        <v>100</v>
      </c>
    </row>
    <row r="415" spans="1:14" ht="15" thickBot="1" x14ac:dyDescent="0.25">
      <c r="A415" s="794" t="s">
        <v>567</v>
      </c>
      <c r="B415" s="795"/>
      <c r="C415" s="390">
        <v>3237</v>
      </c>
      <c r="D415" s="391" t="s">
        <v>552</v>
      </c>
      <c r="E415" s="386">
        <v>140000</v>
      </c>
      <c r="F415" s="386">
        <v>200000</v>
      </c>
      <c r="G415" s="386">
        <f>F415/7.5345</f>
        <v>26544.56168292521</v>
      </c>
      <c r="H415" s="386">
        <v>25000</v>
      </c>
      <c r="I415" s="386">
        <v>20000</v>
      </c>
      <c r="J415" s="386">
        <v>10000</v>
      </c>
      <c r="K415" s="386">
        <v>10000</v>
      </c>
      <c r="L415" s="578">
        <f>K415*7.5345</f>
        <v>75345</v>
      </c>
      <c r="M415" s="408">
        <f>AVERAGE(J415/I415*100)</f>
        <v>50</v>
      </c>
      <c r="N415" s="426">
        <f>AVERAGE(K415/J415*100)</f>
        <v>100</v>
      </c>
    </row>
    <row r="416" spans="1:14" s="116" customFormat="1" ht="30" thickTop="1" x14ac:dyDescent="0.25">
      <c r="A416" s="763"/>
      <c r="B416" s="790"/>
      <c r="C416" s="765"/>
      <c r="D416" s="752" t="s">
        <v>400</v>
      </c>
      <c r="E416" s="766"/>
      <c r="F416" s="722"/>
      <c r="G416" s="722"/>
      <c r="H416" s="722"/>
      <c r="I416" s="722"/>
      <c r="J416" s="722"/>
      <c r="K416" s="722"/>
      <c r="L416" s="753"/>
      <c r="M416" s="968">
        <f>AVERAGE(J418/I418*100)</f>
        <v>100</v>
      </c>
      <c r="N416" s="970">
        <f>AVERAGE(K418/J418*100)</f>
        <v>100</v>
      </c>
    </row>
    <row r="417" spans="1:14" s="29" customFormat="1" ht="14.25" x14ac:dyDescent="0.2">
      <c r="A417" s="763"/>
      <c r="B417" s="790"/>
      <c r="C417" s="765"/>
      <c r="D417" s="779" t="s">
        <v>498</v>
      </c>
      <c r="E417" s="720"/>
      <c r="F417" s="722"/>
      <c r="G417" s="722"/>
      <c r="H417" s="722"/>
      <c r="I417" s="722"/>
      <c r="J417" s="722"/>
      <c r="K417" s="722"/>
      <c r="L417" s="753"/>
      <c r="M417" s="969"/>
      <c r="N417" s="971"/>
    </row>
    <row r="418" spans="1:14" s="414" customFormat="1" ht="32.25" thickBot="1" x14ac:dyDescent="0.3">
      <c r="A418" s="767"/>
      <c r="B418" s="785"/>
      <c r="C418" s="769"/>
      <c r="D418" s="721" t="s">
        <v>707</v>
      </c>
      <c r="E418" s="730">
        <v>300000</v>
      </c>
      <c r="F418" s="706">
        <f t="shared" ref="F418:L419" si="187">SUM(F419)</f>
        <v>200000</v>
      </c>
      <c r="G418" s="706">
        <f t="shared" si="187"/>
        <v>26544.56168292521</v>
      </c>
      <c r="H418" s="706">
        <f t="shared" si="187"/>
        <v>30000</v>
      </c>
      <c r="I418" s="706">
        <f t="shared" si="187"/>
        <v>210000</v>
      </c>
      <c r="J418" s="706">
        <f t="shared" si="187"/>
        <v>210000</v>
      </c>
      <c r="K418" s="706">
        <f t="shared" si="187"/>
        <v>210000</v>
      </c>
      <c r="L418" s="771">
        <f t="shared" si="187"/>
        <v>1582245</v>
      </c>
      <c r="M418" s="969"/>
      <c r="N418" s="971"/>
    </row>
    <row r="419" spans="1:14" ht="15.75" thickTop="1" x14ac:dyDescent="0.25">
      <c r="A419" s="791" t="s">
        <v>425</v>
      </c>
      <c r="B419" s="732"/>
      <c r="C419" s="733">
        <v>38</v>
      </c>
      <c r="D419" s="734" t="s">
        <v>128</v>
      </c>
      <c r="E419" s="735">
        <v>300000</v>
      </c>
      <c r="F419" s="735">
        <f t="shared" si="187"/>
        <v>200000</v>
      </c>
      <c r="G419" s="735">
        <f t="shared" si="187"/>
        <v>26544.56168292521</v>
      </c>
      <c r="H419" s="735">
        <f t="shared" si="187"/>
        <v>30000</v>
      </c>
      <c r="I419" s="735">
        <f t="shared" si="187"/>
        <v>210000</v>
      </c>
      <c r="J419" s="735">
        <f t="shared" si="187"/>
        <v>210000</v>
      </c>
      <c r="K419" s="735">
        <f t="shared" si="187"/>
        <v>210000</v>
      </c>
      <c r="L419" s="736">
        <f t="shared" si="187"/>
        <v>1582245</v>
      </c>
      <c r="M419" s="760">
        <f t="shared" ref="M419:N422" si="188">AVERAGE(J419/I419*100)</f>
        <v>100</v>
      </c>
      <c r="N419" s="761">
        <f t="shared" si="188"/>
        <v>100</v>
      </c>
    </row>
    <row r="420" spans="1:14" ht="14.25" x14ac:dyDescent="0.2">
      <c r="A420" s="792" t="s">
        <v>425</v>
      </c>
      <c r="B420" s="737"/>
      <c r="C420" s="738">
        <v>386</v>
      </c>
      <c r="D420" s="726" t="s">
        <v>260</v>
      </c>
      <c r="E420" s="720">
        <v>300000</v>
      </c>
      <c r="F420" s="720">
        <f t="shared" ref="F420:K420" si="189">SUM(F421+F422)</f>
        <v>200000</v>
      </c>
      <c r="G420" s="720">
        <f t="shared" si="189"/>
        <v>26544.56168292521</v>
      </c>
      <c r="H420" s="720">
        <f>SUM(H421+H422)</f>
        <v>30000</v>
      </c>
      <c r="I420" s="720">
        <f t="shared" si="189"/>
        <v>210000</v>
      </c>
      <c r="J420" s="720">
        <f t="shared" si="189"/>
        <v>210000</v>
      </c>
      <c r="K420" s="720">
        <f t="shared" si="189"/>
        <v>210000</v>
      </c>
      <c r="L420" s="727">
        <f>SUM(L421+L422)</f>
        <v>1582245</v>
      </c>
      <c r="M420" s="760">
        <f t="shared" si="188"/>
        <v>100</v>
      </c>
      <c r="N420" s="761">
        <f t="shared" si="188"/>
        <v>100</v>
      </c>
    </row>
    <row r="421" spans="1:14" ht="28.5" x14ac:dyDescent="0.2">
      <c r="A421" s="796" t="s">
        <v>425</v>
      </c>
      <c r="B421" s="740"/>
      <c r="C421" s="797">
        <v>3861</v>
      </c>
      <c r="D421" s="798" t="s">
        <v>438</v>
      </c>
      <c r="E421" s="799">
        <v>300000</v>
      </c>
      <c r="F421" s="799">
        <v>150000</v>
      </c>
      <c r="G421" s="800">
        <f>F421/7.5345</f>
        <v>19908.421262193908</v>
      </c>
      <c r="H421" s="800">
        <v>20000</v>
      </c>
      <c r="I421" s="800">
        <v>10000</v>
      </c>
      <c r="J421" s="800">
        <v>10000</v>
      </c>
      <c r="K421" s="800">
        <v>10000</v>
      </c>
      <c r="L421" s="801">
        <f>K421*7.5345</f>
        <v>75345</v>
      </c>
      <c r="M421" s="802">
        <f t="shared" si="188"/>
        <v>100</v>
      </c>
      <c r="N421" s="803">
        <f t="shared" si="188"/>
        <v>100</v>
      </c>
    </row>
    <row r="422" spans="1:14" s="116" customFormat="1" ht="29.25" thickBot="1" x14ac:dyDescent="0.3">
      <c r="A422" s="804" t="s">
        <v>425</v>
      </c>
      <c r="B422" s="746"/>
      <c r="C422" s="805">
        <v>3861</v>
      </c>
      <c r="D422" s="806" t="s">
        <v>439</v>
      </c>
      <c r="E422" s="807">
        <v>300000</v>
      </c>
      <c r="F422" s="807">
        <v>50000</v>
      </c>
      <c r="G422" s="807">
        <f>F422/7.5345</f>
        <v>6636.1404207313026</v>
      </c>
      <c r="H422" s="807">
        <v>10000</v>
      </c>
      <c r="I422" s="807">
        <v>200000</v>
      </c>
      <c r="J422" s="807">
        <v>200000</v>
      </c>
      <c r="K422" s="807">
        <v>200000</v>
      </c>
      <c r="L422" s="808">
        <f>K422*7.5345</f>
        <v>1506900</v>
      </c>
      <c r="M422" s="809">
        <f t="shared" si="188"/>
        <v>100</v>
      </c>
      <c r="N422" s="810">
        <f t="shared" si="188"/>
        <v>100</v>
      </c>
    </row>
    <row r="423" spans="1:14" s="29" customFormat="1" ht="29.25" thickTop="1" x14ac:dyDescent="0.2">
      <c r="A423" s="425"/>
      <c r="B423" s="491"/>
      <c r="C423" s="42"/>
      <c r="D423" s="420" t="s">
        <v>426</v>
      </c>
      <c r="E423" s="396"/>
      <c r="F423" s="395"/>
      <c r="G423" s="395"/>
      <c r="H423" s="395"/>
      <c r="I423" s="395"/>
      <c r="J423" s="395"/>
      <c r="K423" s="395"/>
      <c r="L423" s="575"/>
      <c r="M423" s="964">
        <f>AVERAGE(J425/I425*100)</f>
        <v>100</v>
      </c>
      <c r="N423" s="962">
        <f>AVERAGE(K425/J425*100)</f>
        <v>66.666666666666657</v>
      </c>
    </row>
    <row r="424" spans="1:14" s="414" customFormat="1" ht="15" thickBot="1" x14ac:dyDescent="0.25">
      <c r="A424" s="425"/>
      <c r="B424" s="491"/>
      <c r="C424" s="42"/>
      <c r="D424" s="419" t="s">
        <v>515</v>
      </c>
      <c r="E424" s="386"/>
      <c r="F424" s="395"/>
      <c r="G424" s="395"/>
      <c r="H424" s="395"/>
      <c r="I424" s="395"/>
      <c r="J424" s="395"/>
      <c r="K424" s="395"/>
      <c r="L424" s="575"/>
      <c r="M424" s="965"/>
      <c r="N424" s="963"/>
    </row>
    <row r="425" spans="1:14" ht="32.25" thickTop="1" x14ac:dyDescent="0.25">
      <c r="A425" s="457"/>
      <c r="B425" s="492"/>
      <c r="C425" s="116"/>
      <c r="D425" s="463" t="s">
        <v>708</v>
      </c>
      <c r="E425" s="458">
        <v>300000</v>
      </c>
      <c r="F425" s="456">
        <f t="shared" ref="F425:L427" si="190">SUM(F426)</f>
        <v>500000</v>
      </c>
      <c r="G425" s="456">
        <f t="shared" si="190"/>
        <v>66361.404207313026</v>
      </c>
      <c r="H425" s="456">
        <f t="shared" ref="H425:K425" si="191">SUM(H426)</f>
        <v>65000</v>
      </c>
      <c r="I425" s="456">
        <f t="shared" si="191"/>
        <v>30000</v>
      </c>
      <c r="J425" s="456">
        <f t="shared" si="191"/>
        <v>30000</v>
      </c>
      <c r="K425" s="456">
        <f t="shared" si="191"/>
        <v>20000</v>
      </c>
      <c r="L425" s="576">
        <f t="shared" si="190"/>
        <v>0</v>
      </c>
      <c r="M425" s="965"/>
      <c r="N425" s="963"/>
    </row>
    <row r="426" spans="1:14" ht="15" x14ac:dyDescent="0.25">
      <c r="A426" s="381" t="s">
        <v>568</v>
      </c>
      <c r="B426" s="487"/>
      <c r="C426" s="377">
        <v>42</v>
      </c>
      <c r="D426" s="388" t="s">
        <v>248</v>
      </c>
      <c r="E426" s="385">
        <v>300000</v>
      </c>
      <c r="F426" s="385">
        <f t="shared" si="190"/>
        <v>500000</v>
      </c>
      <c r="G426" s="385">
        <f t="shared" si="190"/>
        <v>66361.404207313026</v>
      </c>
      <c r="H426" s="385">
        <f t="shared" ref="H426:K426" si="192">SUM(H427+H429)</f>
        <v>65000</v>
      </c>
      <c r="I426" s="385">
        <f t="shared" si="192"/>
        <v>30000</v>
      </c>
      <c r="J426" s="385">
        <f t="shared" si="192"/>
        <v>30000</v>
      </c>
      <c r="K426" s="385">
        <f t="shared" si="192"/>
        <v>20000</v>
      </c>
      <c r="L426" s="579">
        <f t="shared" si="190"/>
        <v>0</v>
      </c>
      <c r="M426" s="408">
        <f t="shared" ref="M426:N430" si="193">AVERAGE(J426/I426*100)</f>
        <v>100</v>
      </c>
      <c r="N426" s="426">
        <f t="shared" si="193"/>
        <v>66.666666666666657</v>
      </c>
    </row>
    <row r="427" spans="1:14" s="116" customFormat="1" ht="15.75" x14ac:dyDescent="0.25">
      <c r="A427" s="378" t="s">
        <v>568</v>
      </c>
      <c r="B427" s="486"/>
      <c r="C427" s="390">
        <v>421</v>
      </c>
      <c r="D427" s="391" t="s">
        <v>97</v>
      </c>
      <c r="E427" s="386">
        <v>300000</v>
      </c>
      <c r="F427" s="386">
        <f t="shared" si="190"/>
        <v>500000</v>
      </c>
      <c r="G427" s="386">
        <f t="shared" si="190"/>
        <v>66361.404207313026</v>
      </c>
      <c r="H427" s="386">
        <f t="shared" si="190"/>
        <v>39000</v>
      </c>
      <c r="I427" s="386">
        <f t="shared" si="190"/>
        <v>30000</v>
      </c>
      <c r="J427" s="386">
        <f t="shared" si="190"/>
        <v>0</v>
      </c>
      <c r="K427" s="386">
        <f t="shared" si="190"/>
        <v>0</v>
      </c>
      <c r="L427" s="578">
        <f t="shared" si="190"/>
        <v>0</v>
      </c>
      <c r="M427" s="408">
        <f t="shared" si="193"/>
        <v>0</v>
      </c>
      <c r="N427" s="426" t="e">
        <f t="shared" si="193"/>
        <v>#DIV/0!</v>
      </c>
    </row>
    <row r="428" spans="1:14" s="29" customFormat="1" ht="14.25" x14ac:dyDescent="0.2">
      <c r="A428" s="379" t="s">
        <v>568</v>
      </c>
      <c r="B428" s="493"/>
      <c r="C428" s="423">
        <v>4214</v>
      </c>
      <c r="D428" s="393" t="s">
        <v>249</v>
      </c>
      <c r="E428" s="384">
        <v>300000</v>
      </c>
      <c r="F428" s="384">
        <v>500000</v>
      </c>
      <c r="G428" s="384">
        <f>F428/7.5345</f>
        <v>66361.404207313026</v>
      </c>
      <c r="H428" s="384">
        <v>39000</v>
      </c>
      <c r="I428" s="384">
        <v>30000</v>
      </c>
      <c r="J428" s="384">
        <v>0</v>
      </c>
      <c r="K428" s="384">
        <v>0</v>
      </c>
      <c r="L428" s="581">
        <f>K428*7.5345</f>
        <v>0</v>
      </c>
      <c r="M428" s="403">
        <f t="shared" si="193"/>
        <v>0</v>
      </c>
      <c r="N428" s="403" t="e">
        <f t="shared" si="193"/>
        <v>#DIV/0!</v>
      </c>
    </row>
    <row r="429" spans="1:14" ht="14.25" x14ac:dyDescent="0.2">
      <c r="A429" s="389" t="s">
        <v>568</v>
      </c>
      <c r="B429" s="486"/>
      <c r="C429" s="390">
        <v>421</v>
      </c>
      <c r="D429" s="391" t="s">
        <v>97</v>
      </c>
      <c r="E429" s="386"/>
      <c r="F429" s="386"/>
      <c r="G429" s="386"/>
      <c r="H429" s="386">
        <f t="shared" ref="H429:K429" si="194">SUM(H430)</f>
        <v>26000</v>
      </c>
      <c r="I429" s="386">
        <f t="shared" si="194"/>
        <v>0</v>
      </c>
      <c r="J429" s="386">
        <f t="shared" si="194"/>
        <v>30000</v>
      </c>
      <c r="K429" s="386">
        <f t="shared" si="194"/>
        <v>20000</v>
      </c>
      <c r="L429" s="578"/>
      <c r="M429" s="403" t="e">
        <f t="shared" si="193"/>
        <v>#DIV/0!</v>
      </c>
      <c r="N429" s="403">
        <f t="shared" si="193"/>
        <v>66.666666666666657</v>
      </c>
    </row>
    <row r="430" spans="1:14" s="414" customFormat="1" ht="15" thickBot="1" x14ac:dyDescent="0.25">
      <c r="A430" s="707" t="s">
        <v>568</v>
      </c>
      <c r="B430" s="488"/>
      <c r="C430" s="410">
        <v>4214</v>
      </c>
      <c r="D430" s="411" t="s">
        <v>249</v>
      </c>
      <c r="E430" s="412"/>
      <c r="F430" s="412"/>
      <c r="G430" s="412"/>
      <c r="H430" s="412">
        <v>26000</v>
      </c>
      <c r="I430" s="412">
        <v>0</v>
      </c>
      <c r="J430" s="412">
        <v>30000</v>
      </c>
      <c r="K430" s="412">
        <v>20000</v>
      </c>
      <c r="L430" s="580"/>
      <c r="M430" s="413" t="e">
        <f t="shared" si="193"/>
        <v>#DIV/0!</v>
      </c>
      <c r="N430" s="413">
        <f t="shared" si="193"/>
        <v>66.666666666666657</v>
      </c>
    </row>
    <row r="431" spans="1:14" s="29" customFormat="1" ht="29.25" thickTop="1" x14ac:dyDescent="0.2">
      <c r="A431" s="135"/>
      <c r="B431" s="382"/>
      <c r="C431" s="718"/>
      <c r="D431" s="717" t="s">
        <v>492</v>
      </c>
      <c r="E431" s="716"/>
      <c r="F431" s="395"/>
      <c r="G431" s="395"/>
      <c r="H431" s="395"/>
      <c r="I431" s="395"/>
      <c r="J431" s="395"/>
      <c r="K431" s="395"/>
      <c r="L431" s="575"/>
      <c r="M431" s="407"/>
      <c r="N431" s="715"/>
    </row>
    <row r="432" spans="1:14" ht="14.25" x14ac:dyDescent="0.2">
      <c r="A432" s="135"/>
      <c r="B432" s="382"/>
      <c r="C432" s="718"/>
      <c r="D432" s="717" t="s">
        <v>250</v>
      </c>
      <c r="E432" s="716"/>
      <c r="F432" s="395"/>
      <c r="G432" s="395"/>
      <c r="H432" s="395"/>
      <c r="I432" s="395"/>
      <c r="J432" s="395"/>
      <c r="K432" s="395"/>
      <c r="L432" s="575"/>
      <c r="M432" s="407"/>
      <c r="N432" s="715"/>
    </row>
    <row r="433" spans="1:14" ht="30" x14ac:dyDescent="0.25">
      <c r="A433" s="135"/>
      <c r="B433" s="382"/>
      <c r="C433" s="207"/>
      <c r="D433" s="392" t="s">
        <v>709</v>
      </c>
      <c r="E433" s="395"/>
      <c r="F433" s="395"/>
      <c r="G433" s="395"/>
      <c r="H433" s="719">
        <f t="shared" ref="H433:K433" si="195">SUM(H434)</f>
        <v>25000</v>
      </c>
      <c r="I433" s="719">
        <f t="shared" si="195"/>
        <v>26000</v>
      </c>
      <c r="J433" s="719">
        <f t="shared" si="195"/>
        <v>0</v>
      </c>
      <c r="K433" s="719">
        <f t="shared" si="195"/>
        <v>1126000</v>
      </c>
      <c r="L433" s="575"/>
      <c r="M433" s="407">
        <f t="shared" ref="M433:N440" si="196">AVERAGE(J433/I433*100)</f>
        <v>0</v>
      </c>
      <c r="N433" s="715" t="e">
        <f t="shared" si="196"/>
        <v>#DIV/0!</v>
      </c>
    </row>
    <row r="434" spans="1:14" ht="15" x14ac:dyDescent="0.25">
      <c r="A434" s="387" t="s">
        <v>569</v>
      </c>
      <c r="B434" s="486"/>
      <c r="C434" s="377">
        <v>42</v>
      </c>
      <c r="D434" s="391" t="s">
        <v>248</v>
      </c>
      <c r="E434" s="386"/>
      <c r="F434" s="386"/>
      <c r="G434" s="386"/>
      <c r="H434" s="385">
        <f t="shared" ref="H434:K434" si="197">SUM(H435+H438)</f>
        <v>25000</v>
      </c>
      <c r="I434" s="385">
        <f t="shared" si="197"/>
        <v>26000</v>
      </c>
      <c r="J434" s="385">
        <f t="shared" si="197"/>
        <v>0</v>
      </c>
      <c r="K434" s="385">
        <f t="shared" si="197"/>
        <v>1126000</v>
      </c>
      <c r="L434" s="578"/>
      <c r="M434" s="407">
        <f t="shared" si="196"/>
        <v>0</v>
      </c>
      <c r="N434" s="715" t="e">
        <f t="shared" si="196"/>
        <v>#DIV/0!</v>
      </c>
    </row>
    <row r="435" spans="1:14" ht="14.25" x14ac:dyDescent="0.2">
      <c r="A435" s="389" t="s">
        <v>569</v>
      </c>
      <c r="B435" s="486"/>
      <c r="C435" s="390">
        <v>421</v>
      </c>
      <c r="D435" s="391" t="s">
        <v>97</v>
      </c>
      <c r="E435" s="386"/>
      <c r="F435" s="386"/>
      <c r="G435" s="386"/>
      <c r="H435" s="386">
        <f t="shared" ref="H435" si="198">SUM(H436)</f>
        <v>0</v>
      </c>
      <c r="I435" s="386">
        <f>SUM(I436+I437)</f>
        <v>0</v>
      </c>
      <c r="J435" s="386">
        <f t="shared" ref="J435:K435" si="199">SUM(J436+J437)</f>
        <v>0</v>
      </c>
      <c r="K435" s="386">
        <f t="shared" si="199"/>
        <v>1100000</v>
      </c>
      <c r="L435" s="578"/>
      <c r="M435" s="407" t="e">
        <f t="shared" si="196"/>
        <v>#DIV/0!</v>
      </c>
      <c r="N435" s="715" t="e">
        <f t="shared" si="196"/>
        <v>#DIV/0!</v>
      </c>
    </row>
    <row r="436" spans="1:14" s="680" customFormat="1" ht="16.5" thickBot="1" x14ac:dyDescent="0.3">
      <c r="A436" s="389" t="s">
        <v>569</v>
      </c>
      <c r="B436" s="486"/>
      <c r="C436" s="390">
        <v>4214</v>
      </c>
      <c r="D436" s="391" t="s">
        <v>249</v>
      </c>
      <c r="E436" s="386"/>
      <c r="F436" s="386"/>
      <c r="G436" s="386"/>
      <c r="H436" s="386">
        <v>0</v>
      </c>
      <c r="I436" s="386">
        <v>0</v>
      </c>
      <c r="J436" s="386">
        <v>0</v>
      </c>
      <c r="K436" s="386">
        <v>1050000</v>
      </c>
      <c r="L436" s="578"/>
      <c r="M436" s="407" t="e">
        <f t="shared" si="196"/>
        <v>#DIV/0!</v>
      </c>
      <c r="N436" s="715" t="e">
        <f t="shared" si="196"/>
        <v>#DIV/0!</v>
      </c>
    </row>
    <row r="437" spans="1:14" s="29" customFormat="1" ht="15" thickTop="1" x14ac:dyDescent="0.2">
      <c r="A437" s="389" t="s">
        <v>569</v>
      </c>
      <c r="B437" s="486"/>
      <c r="C437" s="390">
        <v>4214</v>
      </c>
      <c r="D437" s="391" t="s">
        <v>249</v>
      </c>
      <c r="E437" s="386"/>
      <c r="F437" s="386"/>
      <c r="G437" s="386"/>
      <c r="H437" s="386">
        <v>0</v>
      </c>
      <c r="I437" s="386">
        <v>0</v>
      </c>
      <c r="J437" s="386">
        <v>0</v>
      </c>
      <c r="K437" s="386">
        <v>50000</v>
      </c>
      <c r="L437" s="578"/>
      <c r="M437" s="407" t="e">
        <f t="shared" si="196"/>
        <v>#DIV/0!</v>
      </c>
      <c r="N437" s="715" t="e">
        <f t="shared" si="196"/>
        <v>#DIV/0!</v>
      </c>
    </row>
    <row r="438" spans="1:14" ht="14.25" x14ac:dyDescent="0.2">
      <c r="A438" s="394" t="s">
        <v>569</v>
      </c>
      <c r="B438" s="486"/>
      <c r="C438" s="390">
        <v>323</v>
      </c>
      <c r="D438" s="391" t="s">
        <v>56</v>
      </c>
      <c r="E438" s="386" t="e">
        <f>SUM(E439:E446)</f>
        <v>#REF!</v>
      </c>
      <c r="F438" s="386" t="e">
        <f>SUM(F439:F446)</f>
        <v>#REF!</v>
      </c>
      <c r="G438" s="386" t="e">
        <f>SUM(G439:G446)</f>
        <v>#REF!</v>
      </c>
      <c r="H438" s="386">
        <f t="shared" ref="H438:K438" si="200">(H439)</f>
        <v>25000</v>
      </c>
      <c r="I438" s="386">
        <f t="shared" si="200"/>
        <v>26000</v>
      </c>
      <c r="J438" s="386">
        <f t="shared" si="200"/>
        <v>0</v>
      </c>
      <c r="K438" s="386">
        <f t="shared" si="200"/>
        <v>26000</v>
      </c>
      <c r="L438" s="578" t="e">
        <f>SUM(L439:L446)</f>
        <v>#REF!</v>
      </c>
      <c r="M438" s="408">
        <f t="shared" si="196"/>
        <v>0</v>
      </c>
      <c r="N438" s="426" t="e">
        <f t="shared" si="196"/>
        <v>#DIV/0!</v>
      </c>
    </row>
    <row r="439" spans="1:14" ht="17.25" customHeight="1" thickBot="1" x14ac:dyDescent="0.25">
      <c r="A439" s="794" t="s">
        <v>569</v>
      </c>
      <c r="B439" s="795"/>
      <c r="C439" s="390">
        <v>3237</v>
      </c>
      <c r="D439" s="391" t="s">
        <v>627</v>
      </c>
      <c r="E439" s="386">
        <v>140000</v>
      </c>
      <c r="F439" s="386">
        <v>200000</v>
      </c>
      <c r="G439" s="386">
        <f>F439/7.5345</f>
        <v>26544.56168292521</v>
      </c>
      <c r="H439" s="386">
        <v>25000</v>
      </c>
      <c r="I439" s="386">
        <v>26000</v>
      </c>
      <c r="J439" s="386">
        <v>0</v>
      </c>
      <c r="K439" s="386">
        <v>26000</v>
      </c>
      <c r="L439" s="578">
        <f>K439*7.5345</f>
        <v>195897</v>
      </c>
      <c r="M439" s="408">
        <f t="shared" si="196"/>
        <v>0</v>
      </c>
      <c r="N439" s="426" t="e">
        <f t="shared" si="196"/>
        <v>#DIV/0!</v>
      </c>
    </row>
    <row r="440" spans="1:14" s="29" customFormat="1" ht="19.5" thickTop="1" thickBot="1" x14ac:dyDescent="0.25">
      <c r="A440" s="1009" t="s">
        <v>657</v>
      </c>
      <c r="B440" s="1010"/>
      <c r="C440" s="1010"/>
      <c r="D440" s="1011"/>
      <c r="E440" s="712" t="e">
        <f>SUM(E443+#REF!+E451+E469+E491+E503+#REF!+E520+#REF!+E526)</f>
        <v>#REF!</v>
      </c>
      <c r="F440" s="712" t="e">
        <f>SUM(F443+F451+F469+F491+F503+#REF!+F520+#REF!+F526+#REF!+F533+F557)</f>
        <v>#REF!</v>
      </c>
      <c r="G440" s="712" t="e">
        <f>SUM(G443+G451+G469+G491+G503+#REF!+G520+#REF!+G526+#REF!+G533+G557)</f>
        <v>#REF!</v>
      </c>
      <c r="H440" s="712">
        <f>SUM(H443+H451+H457+H463+H469+H475+H481+H491+H503+H510+H520+H526+H533+H557+H565++H572+H580)</f>
        <v>1595000</v>
      </c>
      <c r="I440" s="712">
        <f>SUM(I443+I451+I457+I463+I469+I475+I481+I491+I503+I510+I520+I526+I533+I557+I565+I572+I580+I588)</f>
        <v>900300</v>
      </c>
      <c r="J440" s="712">
        <f t="shared" ref="J440:K440" si="201">SUM(J443+J451+J457+J463+J469+J475+J481+J491+J503+J510+J520+J526+J533+J557+J565+J572+J580+J588)</f>
        <v>2164500</v>
      </c>
      <c r="K440" s="712">
        <f t="shared" si="201"/>
        <v>2023500</v>
      </c>
      <c r="L440" s="713" t="e">
        <f>SUM(L443+L451+L469+L491+L503+#REF!+L520+#REF!+L526+#REF!+L533+L557)</f>
        <v>#REF!</v>
      </c>
      <c r="M440" s="710">
        <f t="shared" si="196"/>
        <v>240.41986004665114</v>
      </c>
      <c r="N440" s="711">
        <f t="shared" si="196"/>
        <v>93.485793485793494</v>
      </c>
    </row>
    <row r="441" spans="1:14" ht="28.5" x14ac:dyDescent="0.2">
      <c r="A441" s="425"/>
      <c r="B441" s="42"/>
      <c r="C441" s="42"/>
      <c r="D441" s="420" t="s">
        <v>400</v>
      </c>
      <c r="E441" s="396"/>
      <c r="F441" s="395"/>
      <c r="G441" s="395"/>
      <c r="H441" s="395"/>
      <c r="I441" s="395"/>
      <c r="J441" s="395"/>
      <c r="K441" s="395"/>
      <c r="L441" s="575"/>
      <c r="M441" s="964">
        <f>AVERAGE(J443/I443*100)</f>
        <v>104.54545454545455</v>
      </c>
      <c r="N441" s="962">
        <f>AVERAGE(K443/J443*100)</f>
        <v>95.652173913043484</v>
      </c>
    </row>
    <row r="442" spans="1:14" ht="14.25" x14ac:dyDescent="0.2">
      <c r="A442" s="425"/>
      <c r="B442" s="42"/>
      <c r="C442" s="42"/>
      <c r="D442" s="420" t="s">
        <v>509</v>
      </c>
      <c r="E442" s="386"/>
      <c r="F442" s="395"/>
      <c r="G442" s="395"/>
      <c r="H442" s="395"/>
      <c r="I442" s="395"/>
      <c r="J442" s="395"/>
      <c r="K442" s="395"/>
      <c r="L442" s="575"/>
      <c r="M442" s="965"/>
      <c r="N442" s="963"/>
    </row>
    <row r="443" spans="1:14" ht="15.75" x14ac:dyDescent="0.25">
      <c r="A443" s="457"/>
      <c r="B443" s="116"/>
      <c r="C443" s="116"/>
      <c r="D443" s="463" t="s">
        <v>676</v>
      </c>
      <c r="E443" s="458">
        <v>247000</v>
      </c>
      <c r="F443" s="456">
        <f t="shared" ref="F443:L443" si="202">SUM(F444)</f>
        <v>230000</v>
      </c>
      <c r="G443" s="456">
        <f t="shared" si="202"/>
        <v>30526.245935363993</v>
      </c>
      <c r="H443" s="456">
        <f t="shared" si="202"/>
        <v>60000</v>
      </c>
      <c r="I443" s="456">
        <f t="shared" si="202"/>
        <v>22000</v>
      </c>
      <c r="J443" s="456">
        <f t="shared" si="202"/>
        <v>23000</v>
      </c>
      <c r="K443" s="456">
        <f t="shared" si="202"/>
        <v>22000</v>
      </c>
      <c r="L443" s="576">
        <f t="shared" si="202"/>
        <v>165759</v>
      </c>
      <c r="M443" s="965"/>
      <c r="N443" s="963"/>
    </row>
    <row r="444" spans="1:14" ht="15" x14ac:dyDescent="0.25">
      <c r="A444" s="381" t="s">
        <v>658</v>
      </c>
      <c r="B444" s="487"/>
      <c r="C444" s="377">
        <v>32</v>
      </c>
      <c r="D444" s="388" t="s">
        <v>47</v>
      </c>
      <c r="E444" s="385">
        <v>247000</v>
      </c>
      <c r="F444" s="385">
        <f t="shared" ref="F444:K444" si="203">SUM(F445+F447)</f>
        <v>230000</v>
      </c>
      <c r="G444" s="385">
        <f t="shared" si="203"/>
        <v>30526.245935363993</v>
      </c>
      <c r="H444" s="385">
        <f>SUM(H445+H447)</f>
        <v>60000</v>
      </c>
      <c r="I444" s="385">
        <f t="shared" si="203"/>
        <v>22000</v>
      </c>
      <c r="J444" s="385">
        <f t="shared" si="203"/>
        <v>23000</v>
      </c>
      <c r="K444" s="385">
        <f t="shared" si="203"/>
        <v>22000</v>
      </c>
      <c r="L444" s="579">
        <f>SUM(L445+L447)</f>
        <v>165759</v>
      </c>
      <c r="M444" s="408">
        <f t="shared" ref="M444:N448" si="204">AVERAGE(J444/I444*100)</f>
        <v>104.54545454545455</v>
      </c>
      <c r="N444" s="426">
        <f t="shared" si="204"/>
        <v>95.652173913043484</v>
      </c>
    </row>
    <row r="445" spans="1:14" s="116" customFormat="1" ht="15.75" x14ac:dyDescent="0.25">
      <c r="A445" s="378" t="s">
        <v>658</v>
      </c>
      <c r="B445" s="486"/>
      <c r="C445" s="390">
        <v>322</v>
      </c>
      <c r="D445" s="391" t="s">
        <v>52</v>
      </c>
      <c r="E445" s="386">
        <v>30000</v>
      </c>
      <c r="F445" s="386">
        <f t="shared" ref="F445:L445" si="205">SUM(F446)</f>
        <v>30000</v>
      </c>
      <c r="G445" s="386">
        <f t="shared" si="205"/>
        <v>3981.6842524387812</v>
      </c>
      <c r="H445" s="386">
        <f t="shared" si="205"/>
        <v>2000</v>
      </c>
      <c r="I445" s="386">
        <f t="shared" si="205"/>
        <v>2000</v>
      </c>
      <c r="J445" s="386">
        <f t="shared" si="205"/>
        <v>3000</v>
      </c>
      <c r="K445" s="386">
        <f t="shared" si="205"/>
        <v>2000</v>
      </c>
      <c r="L445" s="578">
        <f t="shared" si="205"/>
        <v>15069</v>
      </c>
      <c r="M445" s="408">
        <f t="shared" si="204"/>
        <v>150</v>
      </c>
      <c r="N445" s="426">
        <f t="shared" si="204"/>
        <v>66.666666666666657</v>
      </c>
    </row>
    <row r="446" spans="1:14" s="29" customFormat="1" ht="14.25" x14ac:dyDescent="0.2">
      <c r="A446" s="378" t="s">
        <v>658</v>
      </c>
      <c r="B446" s="486"/>
      <c r="C446" s="390">
        <v>3224</v>
      </c>
      <c r="D446" s="391" t="s">
        <v>187</v>
      </c>
      <c r="E446" s="386">
        <v>30000</v>
      </c>
      <c r="F446" s="386">
        <v>30000</v>
      </c>
      <c r="G446" s="386">
        <f>F446/7.5345</f>
        <v>3981.6842524387812</v>
      </c>
      <c r="H446" s="386">
        <v>2000</v>
      </c>
      <c r="I446" s="386">
        <v>2000</v>
      </c>
      <c r="J446" s="386">
        <v>3000</v>
      </c>
      <c r="K446" s="386">
        <v>2000</v>
      </c>
      <c r="L446" s="578">
        <f>K446*7.5345</f>
        <v>15069</v>
      </c>
      <c r="M446" s="408">
        <f t="shared" si="204"/>
        <v>150</v>
      </c>
      <c r="N446" s="426">
        <f t="shared" si="204"/>
        <v>66.666666666666657</v>
      </c>
    </row>
    <row r="447" spans="1:14" ht="14.25" x14ac:dyDescent="0.2">
      <c r="A447" s="378" t="s">
        <v>658</v>
      </c>
      <c r="B447" s="486"/>
      <c r="C447" s="390">
        <v>323</v>
      </c>
      <c r="D447" s="391" t="s">
        <v>56</v>
      </c>
      <c r="E447" s="386">
        <v>217000</v>
      </c>
      <c r="F447" s="386">
        <f t="shared" ref="F447:L447" si="206">SUM(F448)</f>
        <v>200000</v>
      </c>
      <c r="G447" s="386">
        <f t="shared" si="206"/>
        <v>26544.56168292521</v>
      </c>
      <c r="H447" s="386">
        <f t="shared" si="206"/>
        <v>58000</v>
      </c>
      <c r="I447" s="386">
        <f t="shared" si="206"/>
        <v>20000</v>
      </c>
      <c r="J447" s="386">
        <f t="shared" si="206"/>
        <v>20000</v>
      </c>
      <c r="K447" s="386">
        <f t="shared" si="206"/>
        <v>20000</v>
      </c>
      <c r="L447" s="386">
        <f t="shared" si="206"/>
        <v>150690</v>
      </c>
      <c r="M447" s="408">
        <f t="shared" si="204"/>
        <v>100</v>
      </c>
      <c r="N447" s="426">
        <f t="shared" si="204"/>
        <v>100</v>
      </c>
    </row>
    <row r="448" spans="1:14" s="230" customFormat="1" ht="15.75" thickBot="1" x14ac:dyDescent="0.3">
      <c r="A448" s="431" t="s">
        <v>658</v>
      </c>
      <c r="B448" s="488"/>
      <c r="C448" s="410">
        <v>3232</v>
      </c>
      <c r="D448" s="411" t="s">
        <v>240</v>
      </c>
      <c r="E448" s="412">
        <v>217000</v>
      </c>
      <c r="F448" s="412">
        <v>200000</v>
      </c>
      <c r="G448" s="412">
        <f>F448/7.5345</f>
        <v>26544.56168292521</v>
      </c>
      <c r="H448" s="412">
        <v>58000</v>
      </c>
      <c r="I448" s="412">
        <v>20000</v>
      </c>
      <c r="J448" s="412">
        <v>20000</v>
      </c>
      <c r="K448" s="412">
        <v>20000</v>
      </c>
      <c r="L448" s="580">
        <f>K448*7.5345</f>
        <v>150690</v>
      </c>
      <c r="M448" s="477">
        <f t="shared" si="204"/>
        <v>100</v>
      </c>
      <c r="N448" s="478">
        <f t="shared" si="204"/>
        <v>100</v>
      </c>
    </row>
    <row r="449" spans="1:14" s="135" customFormat="1" ht="29.25" thickTop="1" x14ac:dyDescent="0.2">
      <c r="A449" s="425"/>
      <c r="B449" s="491"/>
      <c r="C449" s="42"/>
      <c r="D449" s="420" t="s">
        <v>400</v>
      </c>
      <c r="E449" s="396"/>
      <c r="F449" s="395"/>
      <c r="G449" s="395"/>
      <c r="H449" s="395"/>
      <c r="I449" s="395"/>
      <c r="J449" s="395"/>
      <c r="K449" s="395"/>
      <c r="L449" s="575"/>
      <c r="M449" s="964" t="e">
        <f>AVERAGE(J451/I451*100)</f>
        <v>#DIV/0!</v>
      </c>
      <c r="N449" s="962">
        <v>0</v>
      </c>
    </row>
    <row r="450" spans="1:14" s="681" customFormat="1" ht="15.75" thickBot="1" x14ac:dyDescent="0.3">
      <c r="A450" s="425"/>
      <c r="B450" s="491"/>
      <c r="C450" s="42"/>
      <c r="D450" s="420" t="s">
        <v>252</v>
      </c>
      <c r="E450" s="386"/>
      <c r="F450" s="395"/>
      <c r="G450" s="395"/>
      <c r="H450" s="395"/>
      <c r="I450" s="395"/>
      <c r="J450" s="395"/>
      <c r="K450" s="395"/>
      <c r="L450" s="575"/>
      <c r="M450" s="965"/>
      <c r="N450" s="963"/>
    </row>
    <row r="451" spans="1:14" ht="32.25" thickTop="1" x14ac:dyDescent="0.25">
      <c r="A451" s="457"/>
      <c r="B451" s="492"/>
      <c r="C451" s="116"/>
      <c r="D451" s="463" t="s">
        <v>677</v>
      </c>
      <c r="E451" s="458">
        <v>760000</v>
      </c>
      <c r="F451" s="456">
        <f t="shared" ref="F451:L453" si="207">SUM(F452)</f>
        <v>500000</v>
      </c>
      <c r="G451" s="456">
        <f t="shared" si="207"/>
        <v>66361.404207313026</v>
      </c>
      <c r="H451" s="456">
        <f t="shared" si="207"/>
        <v>0</v>
      </c>
      <c r="I451" s="456">
        <f t="shared" si="207"/>
        <v>0</v>
      </c>
      <c r="J451" s="456">
        <f t="shared" si="207"/>
        <v>50000</v>
      </c>
      <c r="K451" s="456">
        <f t="shared" si="207"/>
        <v>0</v>
      </c>
      <c r="L451" s="576">
        <f t="shared" si="207"/>
        <v>0</v>
      </c>
      <c r="M451" s="965"/>
      <c r="N451" s="963"/>
    </row>
    <row r="452" spans="1:14" ht="15" x14ac:dyDescent="0.25">
      <c r="A452" s="381" t="s">
        <v>659</v>
      </c>
      <c r="B452" s="487"/>
      <c r="C452" s="377">
        <v>42</v>
      </c>
      <c r="D452" s="388" t="s">
        <v>248</v>
      </c>
      <c r="E452" s="385">
        <v>760000</v>
      </c>
      <c r="F452" s="385">
        <f t="shared" si="207"/>
        <v>500000</v>
      </c>
      <c r="G452" s="385">
        <f t="shared" si="207"/>
        <v>66361.404207313026</v>
      </c>
      <c r="H452" s="385">
        <f t="shared" si="207"/>
        <v>0</v>
      </c>
      <c r="I452" s="385">
        <f t="shared" si="207"/>
        <v>0</v>
      </c>
      <c r="J452" s="385">
        <f t="shared" si="207"/>
        <v>50000</v>
      </c>
      <c r="K452" s="385">
        <f t="shared" si="207"/>
        <v>0</v>
      </c>
      <c r="L452" s="579">
        <f t="shared" si="207"/>
        <v>0</v>
      </c>
      <c r="M452" s="408" t="e">
        <f>AVERAGE(J452/I452*100)</f>
        <v>#DIV/0!</v>
      </c>
      <c r="N452" s="426">
        <v>0</v>
      </c>
    </row>
    <row r="453" spans="1:14" ht="14.25" x14ac:dyDescent="0.2">
      <c r="A453" s="378" t="s">
        <v>659</v>
      </c>
      <c r="B453" s="486"/>
      <c r="C453" s="390">
        <v>421</v>
      </c>
      <c r="D453" s="391" t="s">
        <v>97</v>
      </c>
      <c r="E453" s="386">
        <v>760000</v>
      </c>
      <c r="F453" s="386">
        <f t="shared" si="207"/>
        <v>500000</v>
      </c>
      <c r="G453" s="386">
        <f t="shared" si="207"/>
        <v>66361.404207313026</v>
      </c>
      <c r="H453" s="386">
        <f t="shared" si="207"/>
        <v>0</v>
      </c>
      <c r="I453" s="386">
        <f t="shared" si="207"/>
        <v>0</v>
      </c>
      <c r="J453" s="386">
        <f t="shared" si="207"/>
        <v>50000</v>
      </c>
      <c r="K453" s="386">
        <f t="shared" si="207"/>
        <v>0</v>
      </c>
      <c r="L453" s="578">
        <f t="shared" si="207"/>
        <v>0</v>
      </c>
      <c r="M453" s="408" t="e">
        <f>AVERAGE(J453/I453*100)</f>
        <v>#DIV/0!</v>
      </c>
      <c r="N453" s="426">
        <v>0</v>
      </c>
    </row>
    <row r="454" spans="1:14" s="116" customFormat="1" ht="16.5" thickBot="1" x14ac:dyDescent="0.3">
      <c r="A454" s="431" t="s">
        <v>659</v>
      </c>
      <c r="B454" s="488"/>
      <c r="C454" s="410">
        <v>4214</v>
      </c>
      <c r="D454" s="411" t="s">
        <v>119</v>
      </c>
      <c r="E454" s="412">
        <v>760000</v>
      </c>
      <c r="F454" s="412">
        <v>500000</v>
      </c>
      <c r="G454" s="412">
        <f>F454/7.5345</f>
        <v>66361.404207313026</v>
      </c>
      <c r="H454" s="412">
        <v>0</v>
      </c>
      <c r="I454" s="412"/>
      <c r="J454" s="412">
        <v>50000</v>
      </c>
      <c r="K454" s="412">
        <v>0</v>
      </c>
      <c r="L454" s="580">
        <f>K454*7.5345</f>
        <v>0</v>
      </c>
      <c r="M454" s="477" t="e">
        <f>AVERAGE(J454/I454*100)</f>
        <v>#DIV/0!</v>
      </c>
      <c r="N454" s="478">
        <v>0</v>
      </c>
    </row>
    <row r="455" spans="1:14" s="29" customFormat="1" ht="29.25" thickTop="1" x14ac:dyDescent="0.2">
      <c r="A455" s="425"/>
      <c r="B455" s="491"/>
      <c r="C455" s="42"/>
      <c r="D455" s="420" t="s">
        <v>400</v>
      </c>
      <c r="E455" s="396"/>
      <c r="F455" s="395"/>
      <c r="G455" s="395"/>
      <c r="H455" s="395"/>
      <c r="I455" s="395"/>
      <c r="J455" s="395"/>
      <c r="K455" s="395"/>
      <c r="L455" s="575"/>
      <c r="M455" s="964" t="e">
        <f>AVERAGE(J457/I457*100)</f>
        <v>#DIV/0!</v>
      </c>
      <c r="N455" s="962">
        <v>0</v>
      </c>
    </row>
    <row r="456" spans="1:14" ht="14.25" x14ac:dyDescent="0.2">
      <c r="A456" s="425"/>
      <c r="B456" s="491"/>
      <c r="C456" s="42"/>
      <c r="D456" s="420" t="s">
        <v>252</v>
      </c>
      <c r="E456" s="386"/>
      <c r="F456" s="395"/>
      <c r="G456" s="395"/>
      <c r="H456" s="395"/>
      <c r="I456" s="395"/>
      <c r="J456" s="395"/>
      <c r="K456" s="395"/>
      <c r="L456" s="575"/>
      <c r="M456" s="965"/>
      <c r="N456" s="963"/>
    </row>
    <row r="457" spans="1:14" ht="31.5" x14ac:dyDescent="0.25">
      <c r="A457" s="457"/>
      <c r="B457" s="492"/>
      <c r="C457" s="116"/>
      <c r="D457" s="463" t="s">
        <v>678</v>
      </c>
      <c r="E457" s="458">
        <v>760000</v>
      </c>
      <c r="F457" s="456">
        <f t="shared" ref="F457:L459" si="208">SUM(F458)</f>
        <v>500000</v>
      </c>
      <c r="G457" s="456">
        <f t="shared" si="208"/>
        <v>66361.404207313026</v>
      </c>
      <c r="H457" s="456">
        <f t="shared" si="208"/>
        <v>0</v>
      </c>
      <c r="I457" s="456">
        <f t="shared" si="208"/>
        <v>0</v>
      </c>
      <c r="J457" s="456">
        <f t="shared" si="208"/>
        <v>0</v>
      </c>
      <c r="K457" s="456">
        <f t="shared" si="208"/>
        <v>50000</v>
      </c>
      <c r="L457" s="576">
        <f t="shared" si="208"/>
        <v>376725</v>
      </c>
      <c r="M457" s="965"/>
      <c r="N457" s="963"/>
    </row>
    <row r="458" spans="1:14" ht="15" x14ac:dyDescent="0.25">
      <c r="A458" s="381" t="s">
        <v>660</v>
      </c>
      <c r="B458" s="487"/>
      <c r="C458" s="377">
        <v>42</v>
      </c>
      <c r="D458" s="388" t="s">
        <v>248</v>
      </c>
      <c r="E458" s="385">
        <v>760000</v>
      </c>
      <c r="F458" s="385">
        <f t="shared" si="208"/>
        <v>500000</v>
      </c>
      <c r="G458" s="385">
        <f t="shared" si="208"/>
        <v>66361.404207313026</v>
      </c>
      <c r="H458" s="385">
        <f t="shared" si="208"/>
        <v>0</v>
      </c>
      <c r="I458" s="385">
        <f t="shared" si="208"/>
        <v>0</v>
      </c>
      <c r="J458" s="385">
        <f t="shared" si="208"/>
        <v>0</v>
      </c>
      <c r="K458" s="385">
        <f t="shared" si="208"/>
        <v>50000</v>
      </c>
      <c r="L458" s="579">
        <f t="shared" si="208"/>
        <v>376725</v>
      </c>
      <c r="M458" s="408" t="e">
        <f>AVERAGE(J458/I458*100)</f>
        <v>#DIV/0!</v>
      </c>
      <c r="N458" s="426">
        <v>0</v>
      </c>
    </row>
    <row r="459" spans="1:14" s="230" customFormat="1" ht="15" x14ac:dyDescent="0.25">
      <c r="A459" s="378" t="s">
        <v>660</v>
      </c>
      <c r="B459" s="486"/>
      <c r="C459" s="390">
        <v>421</v>
      </c>
      <c r="D459" s="391" t="s">
        <v>97</v>
      </c>
      <c r="E459" s="386">
        <v>760000</v>
      </c>
      <c r="F459" s="386">
        <f t="shared" si="208"/>
        <v>500000</v>
      </c>
      <c r="G459" s="386">
        <f t="shared" si="208"/>
        <v>66361.404207313026</v>
      </c>
      <c r="H459" s="386">
        <f t="shared" si="208"/>
        <v>0</v>
      </c>
      <c r="I459" s="386">
        <f t="shared" si="208"/>
        <v>0</v>
      </c>
      <c r="J459" s="386">
        <f t="shared" si="208"/>
        <v>0</v>
      </c>
      <c r="K459" s="386">
        <f t="shared" si="208"/>
        <v>50000</v>
      </c>
      <c r="L459" s="578">
        <f t="shared" si="208"/>
        <v>376725</v>
      </c>
      <c r="M459" s="408" t="e">
        <f>AVERAGE(J459/I459*100)</f>
        <v>#DIV/0!</v>
      </c>
      <c r="N459" s="426">
        <v>0</v>
      </c>
    </row>
    <row r="460" spans="1:14" s="135" customFormat="1" ht="15" thickBot="1" x14ac:dyDescent="0.25">
      <c r="A460" s="431" t="s">
        <v>660</v>
      </c>
      <c r="B460" s="488"/>
      <c r="C460" s="410">
        <v>4214</v>
      </c>
      <c r="D460" s="411" t="s">
        <v>119</v>
      </c>
      <c r="E460" s="412">
        <v>760000</v>
      </c>
      <c r="F460" s="412">
        <v>500000</v>
      </c>
      <c r="G460" s="412">
        <f>F460/7.5345</f>
        <v>66361.404207313026</v>
      </c>
      <c r="H460" s="412">
        <v>0</v>
      </c>
      <c r="I460" s="412"/>
      <c r="J460" s="412">
        <v>0</v>
      </c>
      <c r="K460" s="412">
        <v>50000</v>
      </c>
      <c r="L460" s="580">
        <f>K460*7.5345</f>
        <v>376725</v>
      </c>
      <c r="M460" s="477" t="e">
        <f>AVERAGE(J460/I460*100)</f>
        <v>#DIV/0!</v>
      </c>
      <c r="N460" s="478">
        <v>0</v>
      </c>
    </row>
    <row r="461" spans="1:14" s="681" customFormat="1" ht="30.75" thickTop="1" thickBot="1" x14ac:dyDescent="0.3">
      <c r="A461" s="425"/>
      <c r="B461" s="491"/>
      <c r="C461" s="42"/>
      <c r="D461" s="420" t="s">
        <v>400</v>
      </c>
      <c r="E461" s="396"/>
      <c r="F461" s="395"/>
      <c r="G461" s="395"/>
      <c r="H461" s="395"/>
      <c r="I461" s="395"/>
      <c r="J461" s="395"/>
      <c r="K461" s="395"/>
      <c r="L461" s="575"/>
      <c r="M461" s="964">
        <f>AVERAGE(J463/I463*100)</f>
        <v>0</v>
      </c>
      <c r="N461" s="962">
        <v>0</v>
      </c>
    </row>
    <row r="462" spans="1:14" ht="15" thickTop="1" x14ac:dyDescent="0.2">
      <c r="A462" s="425"/>
      <c r="B462" s="491"/>
      <c r="C462" s="42"/>
      <c r="D462" s="420" t="s">
        <v>252</v>
      </c>
      <c r="E462" s="386"/>
      <c r="F462" s="395"/>
      <c r="G462" s="395"/>
      <c r="H462" s="395"/>
      <c r="I462" s="395"/>
      <c r="J462" s="395"/>
      <c r="K462" s="395"/>
      <c r="L462" s="575"/>
      <c r="M462" s="965"/>
      <c r="N462" s="963"/>
    </row>
    <row r="463" spans="1:14" ht="47.25" x14ac:dyDescent="0.25">
      <c r="A463" s="457"/>
      <c r="B463" s="492"/>
      <c r="C463" s="116"/>
      <c r="D463" s="463" t="s">
        <v>679</v>
      </c>
      <c r="E463" s="458">
        <v>760000</v>
      </c>
      <c r="F463" s="456">
        <f t="shared" ref="F463:L465" si="209">SUM(F464)</f>
        <v>500000</v>
      </c>
      <c r="G463" s="456">
        <f t="shared" si="209"/>
        <v>66361.404207313026</v>
      </c>
      <c r="H463" s="456">
        <f t="shared" si="209"/>
        <v>0</v>
      </c>
      <c r="I463" s="456">
        <f t="shared" si="209"/>
        <v>80000</v>
      </c>
      <c r="J463" s="456">
        <f t="shared" si="209"/>
        <v>0</v>
      </c>
      <c r="K463" s="456">
        <f t="shared" si="209"/>
        <v>0</v>
      </c>
      <c r="L463" s="576">
        <f t="shared" si="209"/>
        <v>0</v>
      </c>
      <c r="M463" s="965"/>
      <c r="N463" s="963"/>
    </row>
    <row r="464" spans="1:14" ht="15" x14ac:dyDescent="0.25">
      <c r="A464" s="381" t="s">
        <v>661</v>
      </c>
      <c r="B464" s="487"/>
      <c r="C464" s="377">
        <v>42</v>
      </c>
      <c r="D464" s="388" t="s">
        <v>248</v>
      </c>
      <c r="E464" s="385">
        <v>760000</v>
      </c>
      <c r="F464" s="385">
        <f t="shared" si="209"/>
        <v>500000</v>
      </c>
      <c r="G464" s="385">
        <f t="shared" si="209"/>
        <v>66361.404207313026</v>
      </c>
      <c r="H464" s="385">
        <f t="shared" si="209"/>
        <v>0</v>
      </c>
      <c r="I464" s="385">
        <f t="shared" si="209"/>
        <v>80000</v>
      </c>
      <c r="J464" s="385">
        <f t="shared" si="209"/>
        <v>0</v>
      </c>
      <c r="K464" s="385">
        <f t="shared" si="209"/>
        <v>0</v>
      </c>
      <c r="L464" s="579">
        <f t="shared" si="209"/>
        <v>0</v>
      </c>
      <c r="M464" s="408">
        <f>AVERAGE(J464/I464*100)</f>
        <v>0</v>
      </c>
      <c r="N464" s="426">
        <v>0</v>
      </c>
    </row>
    <row r="465" spans="1:14" s="414" customFormat="1" ht="15" thickBot="1" x14ac:dyDescent="0.25">
      <c r="A465" s="378" t="s">
        <v>661</v>
      </c>
      <c r="B465" s="486"/>
      <c r="C465" s="390">
        <v>421</v>
      </c>
      <c r="D465" s="391" t="s">
        <v>97</v>
      </c>
      <c r="E465" s="386">
        <v>760000</v>
      </c>
      <c r="F465" s="386">
        <f t="shared" si="209"/>
        <v>500000</v>
      </c>
      <c r="G465" s="386">
        <f t="shared" si="209"/>
        <v>66361.404207313026</v>
      </c>
      <c r="H465" s="386">
        <f t="shared" si="209"/>
        <v>0</v>
      </c>
      <c r="I465" s="386">
        <f t="shared" si="209"/>
        <v>80000</v>
      </c>
      <c r="J465" s="386">
        <f t="shared" si="209"/>
        <v>0</v>
      </c>
      <c r="K465" s="386">
        <f t="shared" si="209"/>
        <v>0</v>
      </c>
      <c r="L465" s="578">
        <f t="shared" si="209"/>
        <v>0</v>
      </c>
      <c r="M465" s="408">
        <f>AVERAGE(J465/I465*100)</f>
        <v>0</v>
      </c>
      <c r="N465" s="426">
        <v>0</v>
      </c>
    </row>
    <row r="466" spans="1:14" s="29" customFormat="1" ht="15.75" thickTop="1" thickBot="1" x14ac:dyDescent="0.25">
      <c r="A466" s="431" t="s">
        <v>661</v>
      </c>
      <c r="B466" s="488"/>
      <c r="C466" s="410">
        <v>4214</v>
      </c>
      <c r="D466" s="411" t="s">
        <v>119</v>
      </c>
      <c r="E466" s="412">
        <v>760000</v>
      </c>
      <c r="F466" s="412">
        <v>500000</v>
      </c>
      <c r="G466" s="412">
        <f>F466/7.5345</f>
        <v>66361.404207313026</v>
      </c>
      <c r="H466" s="412">
        <v>0</v>
      </c>
      <c r="I466" s="412">
        <v>80000</v>
      </c>
      <c r="J466" s="412">
        <v>0</v>
      </c>
      <c r="K466" s="412">
        <v>0</v>
      </c>
      <c r="L466" s="580">
        <f>K466*7.5345</f>
        <v>0</v>
      </c>
      <c r="M466" s="477">
        <f>AVERAGE(J466/I466*100)</f>
        <v>0</v>
      </c>
      <c r="N466" s="478">
        <v>0</v>
      </c>
    </row>
    <row r="467" spans="1:14" ht="29.25" thickTop="1" x14ac:dyDescent="0.2">
      <c r="A467" s="425"/>
      <c r="B467" s="491"/>
      <c r="C467" s="42"/>
      <c r="D467" s="420" t="s">
        <v>400</v>
      </c>
      <c r="E467" s="396"/>
      <c r="F467" s="395"/>
      <c r="G467" s="395"/>
      <c r="H467" s="395"/>
      <c r="I467" s="395"/>
      <c r="J467" s="395"/>
      <c r="K467" s="395"/>
      <c r="L467" s="575"/>
      <c r="M467" s="964">
        <f>AVERAGE(J469/I469*100)</f>
        <v>100</v>
      </c>
      <c r="N467" s="962">
        <f>AVERAGE(K469/J469*100)</f>
        <v>100</v>
      </c>
    </row>
    <row r="468" spans="1:14" s="414" customFormat="1" ht="15" thickBot="1" x14ac:dyDescent="0.25">
      <c r="A468" s="425"/>
      <c r="B468" s="491"/>
      <c r="C468" s="42"/>
      <c r="D468" s="420" t="s">
        <v>516</v>
      </c>
      <c r="E468" s="386"/>
      <c r="F468" s="395"/>
      <c r="G468" s="395"/>
      <c r="H468" s="395"/>
      <c r="I468" s="395"/>
      <c r="J468" s="395"/>
      <c r="K468" s="395"/>
      <c r="L468" s="575"/>
      <c r="M468" s="965"/>
      <c r="N468" s="963"/>
    </row>
    <row r="469" spans="1:14" ht="16.5" thickTop="1" x14ac:dyDescent="0.25">
      <c r="A469" s="457"/>
      <c r="B469" s="492"/>
      <c r="C469" s="116"/>
      <c r="D469" s="463" t="s">
        <v>680</v>
      </c>
      <c r="E469" s="458">
        <v>256000</v>
      </c>
      <c r="F469" s="456">
        <f t="shared" ref="F469:L471" si="210">SUM(F470)</f>
        <v>150000</v>
      </c>
      <c r="G469" s="456">
        <f t="shared" si="210"/>
        <v>19908.421262193908</v>
      </c>
      <c r="H469" s="456">
        <f t="shared" si="210"/>
        <v>20000</v>
      </c>
      <c r="I469" s="456">
        <f t="shared" si="210"/>
        <v>10000</v>
      </c>
      <c r="J469" s="456">
        <f t="shared" si="210"/>
        <v>10000</v>
      </c>
      <c r="K469" s="456">
        <f t="shared" si="210"/>
        <v>10000</v>
      </c>
      <c r="L469" s="576">
        <f t="shared" si="210"/>
        <v>75345</v>
      </c>
      <c r="M469" s="965"/>
      <c r="N469" s="963"/>
    </row>
    <row r="470" spans="1:14" ht="15" x14ac:dyDescent="0.25">
      <c r="A470" s="381" t="s">
        <v>662</v>
      </c>
      <c r="B470" s="487"/>
      <c r="C470" s="377">
        <v>42</v>
      </c>
      <c r="D470" s="388" t="s">
        <v>248</v>
      </c>
      <c r="E470" s="385">
        <v>256000</v>
      </c>
      <c r="F470" s="385">
        <f t="shared" si="210"/>
        <v>150000</v>
      </c>
      <c r="G470" s="385">
        <f t="shared" si="210"/>
        <v>19908.421262193908</v>
      </c>
      <c r="H470" s="385">
        <f t="shared" si="210"/>
        <v>20000</v>
      </c>
      <c r="I470" s="385">
        <f t="shared" si="210"/>
        <v>10000</v>
      </c>
      <c r="J470" s="385">
        <f t="shared" si="210"/>
        <v>10000</v>
      </c>
      <c r="K470" s="385">
        <f t="shared" si="210"/>
        <v>10000</v>
      </c>
      <c r="L470" s="579">
        <f t="shared" si="210"/>
        <v>75345</v>
      </c>
      <c r="M470" s="408">
        <f t="shared" ref="M470:N472" si="211">AVERAGE(J470/I470*100)</f>
        <v>100</v>
      </c>
      <c r="N470" s="426">
        <f t="shared" si="211"/>
        <v>100</v>
      </c>
    </row>
    <row r="471" spans="1:14" s="29" customFormat="1" ht="14.25" x14ac:dyDescent="0.2">
      <c r="A471" s="378" t="s">
        <v>662</v>
      </c>
      <c r="B471" s="486"/>
      <c r="C471" s="390">
        <v>421</v>
      </c>
      <c r="D471" s="391" t="s">
        <v>97</v>
      </c>
      <c r="E471" s="386">
        <v>256000</v>
      </c>
      <c r="F471" s="386">
        <f t="shared" si="210"/>
        <v>150000</v>
      </c>
      <c r="G471" s="386">
        <f t="shared" si="210"/>
        <v>19908.421262193908</v>
      </c>
      <c r="H471" s="386">
        <f t="shared" si="210"/>
        <v>20000</v>
      </c>
      <c r="I471" s="386">
        <f t="shared" si="210"/>
        <v>10000</v>
      </c>
      <c r="J471" s="386">
        <f t="shared" si="210"/>
        <v>10000</v>
      </c>
      <c r="K471" s="386">
        <f t="shared" si="210"/>
        <v>10000</v>
      </c>
      <c r="L471" s="578">
        <f t="shared" si="210"/>
        <v>75345</v>
      </c>
      <c r="M471" s="408">
        <f t="shared" si="211"/>
        <v>100</v>
      </c>
      <c r="N471" s="426">
        <f t="shared" si="211"/>
        <v>100</v>
      </c>
    </row>
    <row r="472" spans="1:14" ht="15" thickBot="1" x14ac:dyDescent="0.25">
      <c r="A472" s="431" t="s">
        <v>662</v>
      </c>
      <c r="B472" s="488"/>
      <c r="C472" s="410">
        <v>4214</v>
      </c>
      <c r="D472" s="411" t="s">
        <v>249</v>
      </c>
      <c r="E472" s="412">
        <v>256000</v>
      </c>
      <c r="F472" s="412">
        <v>150000</v>
      </c>
      <c r="G472" s="412">
        <f>F472/7.5345</f>
        <v>19908.421262193908</v>
      </c>
      <c r="H472" s="412">
        <v>20000</v>
      </c>
      <c r="I472" s="412">
        <v>10000</v>
      </c>
      <c r="J472" s="412">
        <v>10000</v>
      </c>
      <c r="K472" s="412">
        <v>10000</v>
      </c>
      <c r="L472" s="580">
        <f>K472*7.5345</f>
        <v>75345</v>
      </c>
      <c r="M472" s="477">
        <f t="shared" si="211"/>
        <v>100</v>
      </c>
      <c r="N472" s="478">
        <f t="shared" si="211"/>
        <v>100</v>
      </c>
    </row>
    <row r="473" spans="1:14" ht="15" customHeight="1" thickTop="1" x14ac:dyDescent="0.2">
      <c r="A473" s="425"/>
      <c r="B473" s="491"/>
      <c r="C473" s="42"/>
      <c r="D473" s="420" t="s">
        <v>400</v>
      </c>
      <c r="E473" s="396"/>
      <c r="F473" s="395"/>
      <c r="G473" s="395"/>
      <c r="H473" s="395"/>
      <c r="I473" s="395"/>
      <c r="J473" s="395"/>
      <c r="K473" s="395"/>
      <c r="L473" s="575"/>
      <c r="M473" s="964" t="e">
        <f>AVERAGE(J475/I475*100)</f>
        <v>#DIV/0!</v>
      </c>
      <c r="N473" s="962">
        <f>AVERAGE(K475/J475*100)</f>
        <v>0</v>
      </c>
    </row>
    <row r="474" spans="1:14" ht="14.25" x14ac:dyDescent="0.2">
      <c r="A474" s="425"/>
      <c r="B474" s="491"/>
      <c r="C474" s="42"/>
      <c r="D474" s="420" t="s">
        <v>517</v>
      </c>
      <c r="E474" s="386"/>
      <c r="F474" s="395"/>
      <c r="G474" s="395"/>
      <c r="H474" s="395"/>
      <c r="I474" s="395"/>
      <c r="J474" s="395"/>
      <c r="K474" s="395"/>
      <c r="L474" s="575"/>
      <c r="M474" s="965"/>
      <c r="N474" s="963"/>
    </row>
    <row r="475" spans="1:14" ht="31.5" x14ac:dyDescent="0.25">
      <c r="A475" s="457"/>
      <c r="B475" s="492"/>
      <c r="C475" s="116"/>
      <c r="D475" s="463" t="s">
        <v>710</v>
      </c>
      <c r="E475" s="458">
        <v>256000</v>
      </c>
      <c r="F475" s="456">
        <f t="shared" ref="F475:L477" si="212">SUM(F476)</f>
        <v>150000</v>
      </c>
      <c r="G475" s="456">
        <f t="shared" si="212"/>
        <v>19908.421262193908</v>
      </c>
      <c r="H475" s="456">
        <f t="shared" si="212"/>
        <v>30000</v>
      </c>
      <c r="I475" s="456">
        <f t="shared" si="212"/>
        <v>0</v>
      </c>
      <c r="J475" s="456">
        <f t="shared" si="212"/>
        <v>40000</v>
      </c>
      <c r="K475" s="456">
        <f t="shared" si="212"/>
        <v>0</v>
      </c>
      <c r="L475" s="576">
        <f t="shared" si="212"/>
        <v>0</v>
      </c>
      <c r="M475" s="965"/>
      <c r="N475" s="963"/>
    </row>
    <row r="476" spans="1:14" ht="15" x14ac:dyDescent="0.25">
      <c r="A476" s="381" t="s">
        <v>663</v>
      </c>
      <c r="B476" s="487"/>
      <c r="C476" s="377">
        <v>42</v>
      </c>
      <c r="D476" s="388" t="s">
        <v>248</v>
      </c>
      <c r="E476" s="385">
        <v>256000</v>
      </c>
      <c r="F476" s="385">
        <f t="shared" si="212"/>
        <v>150000</v>
      </c>
      <c r="G476" s="385">
        <f t="shared" si="212"/>
        <v>19908.421262193908</v>
      </c>
      <c r="H476" s="385">
        <f t="shared" si="212"/>
        <v>30000</v>
      </c>
      <c r="I476" s="385">
        <f t="shared" si="212"/>
        <v>0</v>
      </c>
      <c r="J476" s="385">
        <f t="shared" si="212"/>
        <v>40000</v>
      </c>
      <c r="K476" s="385">
        <f t="shared" si="212"/>
        <v>0</v>
      </c>
      <c r="L476" s="579">
        <f t="shared" si="212"/>
        <v>0</v>
      </c>
      <c r="M476" s="408" t="e">
        <f t="shared" ref="M476:N478" si="213">AVERAGE(J476/I476*100)</f>
        <v>#DIV/0!</v>
      </c>
      <c r="N476" s="426">
        <f t="shared" si="213"/>
        <v>0</v>
      </c>
    </row>
    <row r="477" spans="1:14" ht="14.25" x14ac:dyDescent="0.2">
      <c r="A477" s="378" t="s">
        <v>663</v>
      </c>
      <c r="B477" s="486"/>
      <c r="C477" s="390">
        <v>421</v>
      </c>
      <c r="D477" s="391" t="s">
        <v>97</v>
      </c>
      <c r="E477" s="386">
        <v>256000</v>
      </c>
      <c r="F477" s="386">
        <f t="shared" si="212"/>
        <v>150000</v>
      </c>
      <c r="G477" s="386">
        <f t="shared" si="212"/>
        <v>19908.421262193908</v>
      </c>
      <c r="H477" s="386">
        <f t="shared" si="212"/>
        <v>30000</v>
      </c>
      <c r="I477" s="386">
        <f t="shared" si="212"/>
        <v>0</v>
      </c>
      <c r="J477" s="386">
        <f t="shared" si="212"/>
        <v>40000</v>
      </c>
      <c r="K477" s="386">
        <f t="shared" si="212"/>
        <v>0</v>
      </c>
      <c r="L477" s="578">
        <f t="shared" si="212"/>
        <v>0</v>
      </c>
      <c r="M477" s="408" t="e">
        <f t="shared" si="213"/>
        <v>#DIV/0!</v>
      </c>
      <c r="N477" s="426">
        <f t="shared" si="213"/>
        <v>0</v>
      </c>
    </row>
    <row r="478" spans="1:14" s="230" customFormat="1" ht="15.75" thickBot="1" x14ac:dyDescent="0.3">
      <c r="A478" s="431" t="s">
        <v>663</v>
      </c>
      <c r="B478" s="488"/>
      <c r="C478" s="410">
        <v>4214</v>
      </c>
      <c r="D478" s="411" t="s">
        <v>249</v>
      </c>
      <c r="E478" s="412">
        <v>256000</v>
      </c>
      <c r="F478" s="412">
        <v>150000</v>
      </c>
      <c r="G478" s="412">
        <f>F478/7.5345</f>
        <v>19908.421262193908</v>
      </c>
      <c r="H478" s="412">
        <v>30000</v>
      </c>
      <c r="I478" s="412">
        <v>0</v>
      </c>
      <c r="J478" s="412">
        <v>40000</v>
      </c>
      <c r="K478" s="412">
        <v>0</v>
      </c>
      <c r="L478" s="580">
        <f>K478*7.5345</f>
        <v>0</v>
      </c>
      <c r="M478" s="477" t="e">
        <f t="shared" si="213"/>
        <v>#DIV/0!</v>
      </c>
      <c r="N478" s="478">
        <f t="shared" si="213"/>
        <v>0</v>
      </c>
    </row>
    <row r="479" spans="1:14" ht="29.25" thickTop="1" x14ac:dyDescent="0.2">
      <c r="A479" s="425"/>
      <c r="B479" s="491"/>
      <c r="C479" s="42"/>
      <c r="D479" s="420" t="s">
        <v>400</v>
      </c>
      <c r="E479" s="396"/>
      <c r="F479" s="395"/>
      <c r="G479" s="395"/>
      <c r="H479" s="395"/>
      <c r="I479" s="395"/>
      <c r="J479" s="395"/>
      <c r="K479" s="395"/>
      <c r="L479" s="575"/>
      <c r="M479" s="964">
        <f>AVERAGE(J481/I481*100)</f>
        <v>0</v>
      </c>
      <c r="N479" s="962" t="e">
        <f>AVERAGE(K481/J481*100)</f>
        <v>#DIV/0!</v>
      </c>
    </row>
    <row r="480" spans="1:14" ht="14.25" x14ac:dyDescent="0.2">
      <c r="A480" s="425"/>
      <c r="B480" s="491"/>
      <c r="C480" s="42"/>
      <c r="D480" s="420" t="s">
        <v>517</v>
      </c>
      <c r="E480" s="386"/>
      <c r="F480" s="395"/>
      <c r="G480" s="395"/>
      <c r="H480" s="395"/>
      <c r="I480" s="395"/>
      <c r="J480" s="395"/>
      <c r="K480" s="395"/>
      <c r="L480" s="575"/>
      <c r="M480" s="965"/>
      <c r="N480" s="963"/>
    </row>
    <row r="481" spans="1:14" s="587" customFormat="1" ht="31.5" x14ac:dyDescent="0.25">
      <c r="A481" s="457"/>
      <c r="B481" s="492"/>
      <c r="C481" s="116"/>
      <c r="D481" s="463" t="s">
        <v>681</v>
      </c>
      <c r="E481" s="458">
        <v>256000</v>
      </c>
      <c r="F481" s="456">
        <f t="shared" ref="F481:L483" si="214">SUM(F482)</f>
        <v>150000</v>
      </c>
      <c r="G481" s="456">
        <f t="shared" si="214"/>
        <v>19908.421262193908</v>
      </c>
      <c r="H481" s="456">
        <f t="shared" si="214"/>
        <v>0</v>
      </c>
      <c r="I481" s="456">
        <f t="shared" si="214"/>
        <v>52500</v>
      </c>
      <c r="J481" s="456">
        <f t="shared" si="214"/>
        <v>0</v>
      </c>
      <c r="K481" s="456">
        <f t="shared" si="214"/>
        <v>0</v>
      </c>
      <c r="L481" s="576">
        <f t="shared" si="214"/>
        <v>0</v>
      </c>
      <c r="M481" s="965"/>
      <c r="N481" s="963"/>
    </row>
    <row r="482" spans="1:14" s="587" customFormat="1" ht="15" x14ac:dyDescent="0.25">
      <c r="A482" s="381" t="s">
        <v>664</v>
      </c>
      <c r="B482" s="487"/>
      <c r="C482" s="377">
        <v>42</v>
      </c>
      <c r="D482" s="388" t="s">
        <v>248</v>
      </c>
      <c r="E482" s="385">
        <v>256000</v>
      </c>
      <c r="F482" s="385">
        <f t="shared" si="214"/>
        <v>150000</v>
      </c>
      <c r="G482" s="385">
        <f t="shared" si="214"/>
        <v>19908.421262193908</v>
      </c>
      <c r="H482" s="385">
        <f t="shared" ref="H482:K482" si="215">SUM(H483+H486)</f>
        <v>0</v>
      </c>
      <c r="I482" s="385">
        <f t="shared" si="215"/>
        <v>52500</v>
      </c>
      <c r="J482" s="385">
        <f t="shared" si="215"/>
        <v>0</v>
      </c>
      <c r="K482" s="385">
        <f t="shared" si="215"/>
        <v>0</v>
      </c>
      <c r="L482" s="579">
        <f t="shared" si="214"/>
        <v>0</v>
      </c>
      <c r="M482" s="408">
        <f t="shared" ref="M482:N488" si="216">AVERAGE(J482/I482*100)</f>
        <v>0</v>
      </c>
      <c r="N482" s="426" t="e">
        <f t="shared" si="216"/>
        <v>#DIV/0!</v>
      </c>
    </row>
    <row r="483" spans="1:14" s="587" customFormat="1" ht="14.25" x14ac:dyDescent="0.2">
      <c r="A483" s="378" t="s">
        <v>664</v>
      </c>
      <c r="B483" s="486"/>
      <c r="C483" s="390">
        <v>421</v>
      </c>
      <c r="D483" s="391" t="s">
        <v>97</v>
      </c>
      <c r="E483" s="386">
        <v>256000</v>
      </c>
      <c r="F483" s="386">
        <f t="shared" si="214"/>
        <v>150000</v>
      </c>
      <c r="G483" s="386">
        <f t="shared" si="214"/>
        <v>19908.421262193908</v>
      </c>
      <c r="H483" s="386">
        <f t="shared" ref="H483:K483" si="217">SUM(H484+H485)</f>
        <v>0</v>
      </c>
      <c r="I483" s="386">
        <f t="shared" si="217"/>
        <v>50000</v>
      </c>
      <c r="J483" s="386">
        <f t="shared" si="217"/>
        <v>0</v>
      </c>
      <c r="K483" s="386">
        <f t="shared" si="217"/>
        <v>0</v>
      </c>
      <c r="L483" s="578">
        <f t="shared" si="214"/>
        <v>0</v>
      </c>
      <c r="M483" s="408">
        <f t="shared" si="216"/>
        <v>0</v>
      </c>
      <c r="N483" s="426" t="e">
        <f t="shared" si="216"/>
        <v>#DIV/0!</v>
      </c>
    </row>
    <row r="484" spans="1:14" s="587" customFormat="1" ht="14.25" x14ac:dyDescent="0.2">
      <c r="A484" s="378" t="s">
        <v>664</v>
      </c>
      <c r="B484" s="486"/>
      <c r="C484" s="390">
        <v>4214</v>
      </c>
      <c r="D484" s="391" t="s">
        <v>249</v>
      </c>
      <c r="E484" s="386">
        <v>256000</v>
      </c>
      <c r="F484" s="386">
        <v>150000</v>
      </c>
      <c r="G484" s="386">
        <f>F484/7.5345</f>
        <v>19908.421262193908</v>
      </c>
      <c r="H484" s="386">
        <v>0</v>
      </c>
      <c r="I484" s="386">
        <v>25000</v>
      </c>
      <c r="J484" s="386">
        <v>0</v>
      </c>
      <c r="K484" s="386">
        <v>0</v>
      </c>
      <c r="L484" s="578">
        <f>K484*7.5345</f>
        <v>0</v>
      </c>
      <c r="M484" s="403">
        <f t="shared" si="216"/>
        <v>0</v>
      </c>
      <c r="N484" s="427" t="e">
        <f t="shared" si="216"/>
        <v>#DIV/0!</v>
      </c>
    </row>
    <row r="485" spans="1:14" s="587" customFormat="1" ht="14.25" x14ac:dyDescent="0.2">
      <c r="A485" s="378" t="s">
        <v>664</v>
      </c>
      <c r="B485" s="486"/>
      <c r="C485" s="390">
        <v>4214</v>
      </c>
      <c r="D485" s="391" t="s">
        <v>249</v>
      </c>
      <c r="E485" s="386">
        <v>256000</v>
      </c>
      <c r="F485" s="386">
        <v>150000</v>
      </c>
      <c r="G485" s="386">
        <f>F485/7.5345</f>
        <v>19908.421262193908</v>
      </c>
      <c r="H485" s="386">
        <v>0</v>
      </c>
      <c r="I485" s="386">
        <v>25000</v>
      </c>
      <c r="J485" s="386">
        <v>0</v>
      </c>
      <c r="K485" s="386">
        <v>0</v>
      </c>
      <c r="L485" s="578">
        <f>K485*7.5345</f>
        <v>0</v>
      </c>
      <c r="M485" s="403">
        <f t="shared" si="216"/>
        <v>0</v>
      </c>
      <c r="N485" s="427" t="e">
        <f t="shared" si="216"/>
        <v>#DIV/0!</v>
      </c>
    </row>
    <row r="486" spans="1:14" s="587" customFormat="1" ht="14.25" x14ac:dyDescent="0.2">
      <c r="A486" s="872" t="s">
        <v>664</v>
      </c>
      <c r="B486" s="873"/>
      <c r="C486" s="874">
        <v>323</v>
      </c>
      <c r="D486" s="875" t="s">
        <v>56</v>
      </c>
      <c r="E486" s="396">
        <f>SUM(E487:E495)</f>
        <v>1525000</v>
      </c>
      <c r="F486" s="396" t="e">
        <f>SUM(F487:F495)</f>
        <v>#REF!</v>
      </c>
      <c r="G486" s="396" t="e">
        <f>SUM(G487:G495)</f>
        <v>#REF!</v>
      </c>
      <c r="H486" s="396">
        <f t="shared" ref="H486:K486" si="218">(H487)</f>
        <v>0</v>
      </c>
      <c r="I486" s="396">
        <f>(I487+I488)</f>
        <v>2500</v>
      </c>
      <c r="J486" s="396">
        <f t="shared" si="218"/>
        <v>0</v>
      </c>
      <c r="K486" s="396">
        <f t="shared" si="218"/>
        <v>0</v>
      </c>
      <c r="L486" s="876" t="e">
        <f>SUM(L487:L495)</f>
        <v>#REF!</v>
      </c>
      <c r="M486" s="408">
        <f t="shared" si="216"/>
        <v>0</v>
      </c>
      <c r="N486" s="426" t="e">
        <f t="shared" si="216"/>
        <v>#DIV/0!</v>
      </c>
    </row>
    <row r="487" spans="1:14" s="587" customFormat="1" ht="15" thickBot="1" x14ac:dyDescent="0.25">
      <c r="A487" s="756" t="s">
        <v>570</v>
      </c>
      <c r="B487" s="746"/>
      <c r="C487" s="410">
        <v>3237</v>
      </c>
      <c r="D487" s="411" t="s">
        <v>554</v>
      </c>
      <c r="E487" s="412">
        <v>140000</v>
      </c>
      <c r="F487" s="412">
        <v>200000</v>
      </c>
      <c r="G487" s="412">
        <f>F487/7.5345</f>
        <v>26544.56168292521</v>
      </c>
      <c r="H487" s="412">
        <v>0</v>
      </c>
      <c r="I487" s="412">
        <v>1250</v>
      </c>
      <c r="J487" s="412">
        <v>0</v>
      </c>
      <c r="K487" s="412">
        <v>0</v>
      </c>
      <c r="L487" s="580">
        <f>K487*7.5345</f>
        <v>0</v>
      </c>
      <c r="M487" s="413">
        <f t="shared" si="216"/>
        <v>0</v>
      </c>
      <c r="N487" s="430" t="e">
        <f t="shared" si="216"/>
        <v>#DIV/0!</v>
      </c>
    </row>
    <row r="488" spans="1:14" ht="15.75" thickTop="1" thickBot="1" x14ac:dyDescent="0.25">
      <c r="A488" s="756" t="s">
        <v>664</v>
      </c>
      <c r="B488" s="746"/>
      <c r="C488" s="410">
        <v>3237</v>
      </c>
      <c r="D488" s="411" t="s">
        <v>554</v>
      </c>
      <c r="E488" s="412">
        <v>140000</v>
      </c>
      <c r="F488" s="412">
        <v>200000</v>
      </c>
      <c r="G488" s="412">
        <f>F488/7.5345</f>
        <v>26544.56168292521</v>
      </c>
      <c r="H488" s="412">
        <v>0</v>
      </c>
      <c r="I488" s="412">
        <v>1250</v>
      </c>
      <c r="J488" s="412">
        <v>0</v>
      </c>
      <c r="K488" s="412">
        <v>0</v>
      </c>
      <c r="L488" s="580">
        <f>K488*7.5345</f>
        <v>0</v>
      </c>
      <c r="M488" s="413">
        <f t="shared" si="216"/>
        <v>0</v>
      </c>
      <c r="N488" s="430" t="e">
        <f t="shared" si="216"/>
        <v>#DIV/0!</v>
      </c>
    </row>
    <row r="489" spans="1:14" s="587" customFormat="1" ht="15" thickTop="1" x14ac:dyDescent="0.2">
      <c r="A489" s="425"/>
      <c r="B489" s="491"/>
      <c r="C489" s="42"/>
      <c r="D489" s="420" t="s">
        <v>401</v>
      </c>
      <c r="E489" s="396"/>
      <c r="F489" s="395"/>
      <c r="G489" s="395"/>
      <c r="H489" s="395"/>
      <c r="I489" s="395"/>
      <c r="J489" s="395"/>
      <c r="K489" s="395"/>
      <c r="L489" s="575"/>
      <c r="M489" s="964">
        <f>AVERAGE(J491/I491*100)</f>
        <v>72.727272727272734</v>
      </c>
      <c r="N489" s="967">
        <f>AVERAGE(K491/J491*100)</f>
        <v>100</v>
      </c>
    </row>
    <row r="490" spans="1:14" s="587" customFormat="1" ht="14.25" x14ac:dyDescent="0.2">
      <c r="A490" s="425"/>
      <c r="B490" s="491"/>
      <c r="C490" s="42"/>
      <c r="D490" s="420" t="s">
        <v>505</v>
      </c>
      <c r="E490" s="386"/>
      <c r="F490" s="395"/>
      <c r="G490" s="395"/>
      <c r="H490" s="395"/>
      <c r="I490" s="395"/>
      <c r="J490" s="395"/>
      <c r="K490" s="395"/>
      <c r="L490" s="575"/>
      <c r="M490" s="965"/>
      <c r="N490" s="963"/>
    </row>
    <row r="491" spans="1:14" s="587" customFormat="1" ht="15.75" x14ac:dyDescent="0.25">
      <c r="A491" s="457"/>
      <c r="B491" s="492"/>
      <c r="C491" s="116"/>
      <c r="D491" s="463" t="s">
        <v>682</v>
      </c>
      <c r="E491" s="458">
        <v>249000</v>
      </c>
      <c r="F491" s="456" t="e">
        <f t="shared" ref="F491:L492" si="219">SUM(F492)</f>
        <v>#REF!</v>
      </c>
      <c r="G491" s="456" t="e">
        <f t="shared" si="219"/>
        <v>#REF!</v>
      </c>
      <c r="H491" s="456">
        <f t="shared" ref="H491:K491" si="220">SUM(H492)</f>
        <v>40000</v>
      </c>
      <c r="I491" s="456">
        <f t="shared" si="220"/>
        <v>55000</v>
      </c>
      <c r="J491" s="456">
        <f t="shared" si="220"/>
        <v>40000</v>
      </c>
      <c r="K491" s="456">
        <f t="shared" si="220"/>
        <v>40000</v>
      </c>
      <c r="L491" s="576" t="e">
        <f t="shared" si="219"/>
        <v>#REF!</v>
      </c>
      <c r="M491" s="965"/>
      <c r="N491" s="963"/>
    </row>
    <row r="492" spans="1:14" s="587" customFormat="1" ht="15" x14ac:dyDescent="0.25">
      <c r="A492" s="381" t="s">
        <v>665</v>
      </c>
      <c r="B492" s="487"/>
      <c r="C492" s="377">
        <v>42</v>
      </c>
      <c r="D492" s="388" t="s">
        <v>248</v>
      </c>
      <c r="E492" s="385">
        <v>249000</v>
      </c>
      <c r="F492" s="385" t="e">
        <f t="shared" si="219"/>
        <v>#REF!</v>
      </c>
      <c r="G492" s="385" t="e">
        <f t="shared" si="219"/>
        <v>#REF!</v>
      </c>
      <c r="H492" s="385">
        <f t="shared" si="219"/>
        <v>40000</v>
      </c>
      <c r="I492" s="385">
        <f>SUM(I493+I496)</f>
        <v>55000</v>
      </c>
      <c r="J492" s="385">
        <f t="shared" ref="J492:K492" si="221">SUM(J493+J496)</f>
        <v>40000</v>
      </c>
      <c r="K492" s="385">
        <f t="shared" si="221"/>
        <v>40000</v>
      </c>
      <c r="L492" s="579" t="e">
        <f t="shared" si="219"/>
        <v>#REF!</v>
      </c>
      <c r="M492" s="408">
        <f t="shared" ref="M492:N494" si="222">AVERAGE(J492/I492*100)</f>
        <v>72.727272727272734</v>
      </c>
      <c r="N492" s="426">
        <f t="shared" si="222"/>
        <v>100</v>
      </c>
    </row>
    <row r="493" spans="1:14" s="587" customFormat="1" ht="14.25" x14ac:dyDescent="0.2">
      <c r="A493" s="378" t="s">
        <v>665</v>
      </c>
      <c r="B493" s="486"/>
      <c r="C493" s="390">
        <v>421</v>
      </c>
      <c r="D493" s="391" t="s">
        <v>97</v>
      </c>
      <c r="E493" s="386">
        <v>249000</v>
      </c>
      <c r="F493" s="386" t="e">
        <f>SUM(F494+#REF!+F495)</f>
        <v>#REF!</v>
      </c>
      <c r="G493" s="386" t="e">
        <f>SUM(G494+#REF!+G495)</f>
        <v>#REF!</v>
      </c>
      <c r="H493" s="386">
        <f t="shared" ref="H493:K493" si="223">SUM(H494+H495)</f>
        <v>40000</v>
      </c>
      <c r="I493" s="386">
        <f t="shared" si="223"/>
        <v>50000</v>
      </c>
      <c r="J493" s="386">
        <f t="shared" si="223"/>
        <v>35000</v>
      </c>
      <c r="K493" s="386">
        <f t="shared" si="223"/>
        <v>35000</v>
      </c>
      <c r="L493" s="578" t="e">
        <f>SUM(L494+#REF!+L495)</f>
        <v>#REF!</v>
      </c>
      <c r="M493" s="408">
        <f t="shared" si="222"/>
        <v>70</v>
      </c>
      <c r="N493" s="426">
        <f t="shared" si="222"/>
        <v>100</v>
      </c>
    </row>
    <row r="494" spans="1:14" s="589" customFormat="1" ht="14.25" x14ac:dyDescent="0.2">
      <c r="A494" s="378" t="s">
        <v>665</v>
      </c>
      <c r="B494" s="486"/>
      <c r="C494" s="390">
        <v>4214</v>
      </c>
      <c r="D494" s="391" t="s">
        <v>249</v>
      </c>
      <c r="E494" s="386">
        <v>249000</v>
      </c>
      <c r="F494" s="386">
        <v>50000</v>
      </c>
      <c r="G494" s="386">
        <f>F494/7.5345</f>
        <v>6636.1404207313026</v>
      </c>
      <c r="H494" s="386">
        <v>25000</v>
      </c>
      <c r="I494" s="386">
        <v>35000</v>
      </c>
      <c r="J494" s="386">
        <v>20000</v>
      </c>
      <c r="K494" s="386">
        <v>20000</v>
      </c>
      <c r="L494" s="578">
        <f>K494*7.5345</f>
        <v>150690</v>
      </c>
      <c r="M494" s="403">
        <f t="shared" si="222"/>
        <v>57.142857142857139</v>
      </c>
      <c r="N494" s="427">
        <f t="shared" si="222"/>
        <v>100</v>
      </c>
    </row>
    <row r="495" spans="1:14" s="587" customFormat="1" ht="14.25" x14ac:dyDescent="0.2">
      <c r="A495" s="378" t="s">
        <v>665</v>
      </c>
      <c r="B495" s="486"/>
      <c r="C495" s="390">
        <v>4214</v>
      </c>
      <c r="D495" s="391" t="s">
        <v>249</v>
      </c>
      <c r="E495" s="386">
        <v>249000</v>
      </c>
      <c r="F495" s="386">
        <v>0</v>
      </c>
      <c r="G495" s="386">
        <v>0</v>
      </c>
      <c r="H495" s="386">
        <v>15000</v>
      </c>
      <c r="I495" s="386">
        <v>15000</v>
      </c>
      <c r="J495" s="386">
        <v>15000</v>
      </c>
      <c r="K495" s="386">
        <v>15000</v>
      </c>
      <c r="L495" s="578">
        <v>0</v>
      </c>
      <c r="M495" s="403" t="e">
        <f>AVERAGE(J495/F495*100)</f>
        <v>#DIV/0!</v>
      </c>
      <c r="N495" s="427">
        <f>AVERAGE(L495/J495*100)</f>
        <v>0</v>
      </c>
    </row>
    <row r="496" spans="1:14" s="587" customFormat="1" ht="14.25" x14ac:dyDescent="0.2">
      <c r="A496" s="394" t="s">
        <v>665</v>
      </c>
      <c r="B496" s="486"/>
      <c r="C496" s="390">
        <v>323</v>
      </c>
      <c r="D496" s="391" t="s">
        <v>56</v>
      </c>
      <c r="E496" s="386">
        <f>SUM(E497:E507)</f>
        <v>1057000</v>
      </c>
      <c r="F496" s="386" t="e">
        <f>SUM(F497:F507)</f>
        <v>#REF!</v>
      </c>
      <c r="G496" s="386" t="e">
        <f>SUM(G497:G507)</f>
        <v>#REF!</v>
      </c>
      <c r="H496" s="386">
        <f t="shared" ref="H496" si="224">(H497)</f>
        <v>0</v>
      </c>
      <c r="I496" s="386">
        <f>SUM(I497:I500)</f>
        <v>5000</v>
      </c>
      <c r="J496" s="386">
        <f t="shared" ref="J496:K496" si="225">SUM(J497:J500)</f>
        <v>5000</v>
      </c>
      <c r="K496" s="386">
        <f t="shared" si="225"/>
        <v>5000</v>
      </c>
      <c r="L496" s="578" t="e">
        <f>SUM(L497:L507)</f>
        <v>#REF!</v>
      </c>
      <c r="M496" s="403">
        <f t="shared" ref="M496:N500" si="226">AVERAGE(J496/I496*100)</f>
        <v>100</v>
      </c>
      <c r="N496" s="427">
        <f t="shared" si="226"/>
        <v>100</v>
      </c>
    </row>
    <row r="497" spans="1:14" s="587" customFormat="1" ht="14.25" x14ac:dyDescent="0.2">
      <c r="A497" s="792" t="s">
        <v>665</v>
      </c>
      <c r="B497" s="737"/>
      <c r="C497" s="390">
        <v>3237</v>
      </c>
      <c r="D497" s="391" t="s">
        <v>554</v>
      </c>
      <c r="E497" s="386">
        <v>140000</v>
      </c>
      <c r="F497" s="386">
        <v>200000</v>
      </c>
      <c r="G497" s="386">
        <f>F497/7.5345</f>
        <v>26544.56168292521</v>
      </c>
      <c r="H497" s="386">
        <v>0</v>
      </c>
      <c r="I497" s="386">
        <v>1250</v>
      </c>
      <c r="J497" s="386">
        <v>1250</v>
      </c>
      <c r="K497" s="386">
        <v>1250</v>
      </c>
      <c r="L497" s="578">
        <f>K497*7.5345</f>
        <v>9418.125</v>
      </c>
      <c r="M497" s="403">
        <f t="shared" si="226"/>
        <v>100</v>
      </c>
      <c r="N497" s="427">
        <f t="shared" si="226"/>
        <v>100</v>
      </c>
    </row>
    <row r="498" spans="1:14" s="587" customFormat="1" ht="14.25" x14ac:dyDescent="0.2">
      <c r="A498" s="792" t="s">
        <v>665</v>
      </c>
      <c r="B498" s="737"/>
      <c r="C498" s="390">
        <v>3237</v>
      </c>
      <c r="D498" s="391" t="s">
        <v>554</v>
      </c>
      <c r="E498" s="386">
        <v>140000</v>
      </c>
      <c r="F498" s="386">
        <v>200000</v>
      </c>
      <c r="G498" s="386">
        <f>F498/7.5345</f>
        <v>26544.56168292521</v>
      </c>
      <c r="H498" s="386">
        <v>0</v>
      </c>
      <c r="I498" s="386">
        <v>1250</v>
      </c>
      <c r="J498" s="386">
        <v>1250</v>
      </c>
      <c r="K498" s="386">
        <v>1250</v>
      </c>
      <c r="L498" s="578">
        <f>K498*7.5345</f>
        <v>9418.125</v>
      </c>
      <c r="M498" s="403">
        <f t="shared" si="226"/>
        <v>100</v>
      </c>
      <c r="N498" s="427">
        <f t="shared" si="226"/>
        <v>100</v>
      </c>
    </row>
    <row r="499" spans="1:14" ht="18" customHeight="1" x14ac:dyDescent="0.2">
      <c r="A499" s="792" t="s">
        <v>665</v>
      </c>
      <c r="B499" s="737"/>
      <c r="C499" s="390">
        <v>3237</v>
      </c>
      <c r="D499" s="391" t="s">
        <v>560</v>
      </c>
      <c r="E499" s="386">
        <v>140000</v>
      </c>
      <c r="F499" s="386">
        <v>200000</v>
      </c>
      <c r="G499" s="386">
        <f>F499/7.5345</f>
        <v>26544.56168292521</v>
      </c>
      <c r="H499" s="386">
        <v>0</v>
      </c>
      <c r="I499" s="386">
        <v>1250</v>
      </c>
      <c r="J499" s="386">
        <v>1250</v>
      </c>
      <c r="K499" s="386">
        <v>1250</v>
      </c>
      <c r="L499" s="578">
        <f>K499*7.5345</f>
        <v>9418.125</v>
      </c>
      <c r="M499" s="403">
        <f t="shared" si="226"/>
        <v>100</v>
      </c>
      <c r="N499" s="427">
        <f t="shared" si="226"/>
        <v>100</v>
      </c>
    </row>
    <row r="500" spans="1:14" s="29" customFormat="1" ht="15" thickBot="1" x14ac:dyDescent="0.25">
      <c r="A500" s="794" t="s">
        <v>665</v>
      </c>
      <c r="B500" s="795"/>
      <c r="C500" s="465">
        <v>3237</v>
      </c>
      <c r="D500" s="466" t="s">
        <v>560</v>
      </c>
      <c r="E500" s="467">
        <v>140000</v>
      </c>
      <c r="F500" s="467">
        <v>200000</v>
      </c>
      <c r="G500" s="467">
        <f>F500/7.5345</f>
        <v>26544.56168292521</v>
      </c>
      <c r="H500" s="467">
        <v>0</v>
      </c>
      <c r="I500" s="467">
        <v>1250</v>
      </c>
      <c r="J500" s="467">
        <v>1250</v>
      </c>
      <c r="K500" s="467">
        <v>1250</v>
      </c>
      <c r="L500" s="582">
        <f>K500*7.5345</f>
        <v>9418.125</v>
      </c>
      <c r="M500" s="477">
        <f t="shared" si="226"/>
        <v>100</v>
      </c>
      <c r="N500" s="478">
        <f t="shared" si="226"/>
        <v>100</v>
      </c>
    </row>
    <row r="501" spans="1:14" ht="29.25" thickTop="1" x14ac:dyDescent="0.2">
      <c r="A501" s="425"/>
      <c r="B501" s="491"/>
      <c r="C501" s="42"/>
      <c r="D501" s="420" t="s">
        <v>400</v>
      </c>
      <c r="E501" s="396"/>
      <c r="F501" s="395"/>
      <c r="G501" s="395"/>
      <c r="H501" s="395"/>
      <c r="I501" s="395"/>
      <c r="J501" s="395"/>
      <c r="K501" s="395"/>
      <c r="L501" s="575"/>
      <c r="M501" s="964">
        <f>AVERAGE(J503/I503*100)</f>
        <v>0</v>
      </c>
      <c r="N501" s="962" t="e">
        <f>AVERAGE(K503/J503*100)</f>
        <v>#DIV/0!</v>
      </c>
    </row>
    <row r="502" spans="1:14" ht="14.25" x14ac:dyDescent="0.2">
      <c r="A502" s="425"/>
      <c r="B502" s="491"/>
      <c r="C502" s="42"/>
      <c r="D502" s="420" t="s">
        <v>505</v>
      </c>
      <c r="E502" s="386"/>
      <c r="F502" s="395"/>
      <c r="G502" s="395"/>
      <c r="H502" s="395"/>
      <c r="I502" s="395"/>
      <c r="J502" s="395"/>
      <c r="K502" s="395"/>
      <c r="L502" s="575"/>
      <c r="M502" s="965"/>
      <c r="N502" s="963"/>
    </row>
    <row r="503" spans="1:14" ht="31.5" x14ac:dyDescent="0.25">
      <c r="A503" s="457"/>
      <c r="B503" s="492"/>
      <c r="C503" s="116"/>
      <c r="D503" s="463" t="s">
        <v>683</v>
      </c>
      <c r="E503" s="458">
        <v>160000</v>
      </c>
      <c r="F503" s="456" t="e">
        <f>SUM(F504+#REF!)</f>
        <v>#REF!</v>
      </c>
      <c r="G503" s="456" t="e">
        <f>SUM(G504+#REF!)</f>
        <v>#REF!</v>
      </c>
      <c r="H503" s="456">
        <f t="shared" ref="H503:K503" si="227">SUM(H504)</f>
        <v>46500</v>
      </c>
      <c r="I503" s="456">
        <f t="shared" si="227"/>
        <v>66500</v>
      </c>
      <c r="J503" s="456">
        <f t="shared" si="227"/>
        <v>0</v>
      </c>
      <c r="K503" s="456">
        <f t="shared" si="227"/>
        <v>0</v>
      </c>
      <c r="L503" s="576" t="e">
        <f>SUM(L504+#REF!)</f>
        <v>#REF!</v>
      </c>
      <c r="M503" s="965"/>
      <c r="N503" s="963"/>
    </row>
    <row r="504" spans="1:14" s="414" customFormat="1" ht="15.75" thickBot="1" x14ac:dyDescent="0.3">
      <c r="A504" s="381" t="s">
        <v>666</v>
      </c>
      <c r="B504" s="487"/>
      <c r="C504" s="377">
        <v>45</v>
      </c>
      <c r="D504" s="388" t="s">
        <v>436</v>
      </c>
      <c r="E504" s="385">
        <v>247000</v>
      </c>
      <c r="F504" s="385">
        <f t="shared" ref="F504:L504" si="228">SUM(F505)</f>
        <v>30000</v>
      </c>
      <c r="G504" s="385">
        <f t="shared" si="228"/>
        <v>3981.6842524387812</v>
      </c>
      <c r="H504" s="385">
        <f t="shared" si="228"/>
        <v>46500</v>
      </c>
      <c r="I504" s="385">
        <f t="shared" si="228"/>
        <v>66500</v>
      </c>
      <c r="J504" s="385">
        <f t="shared" si="228"/>
        <v>0</v>
      </c>
      <c r="K504" s="385">
        <f t="shared" si="228"/>
        <v>0</v>
      </c>
      <c r="L504" s="579">
        <f t="shared" si="228"/>
        <v>0</v>
      </c>
      <c r="M504" s="408">
        <f t="shared" ref="M504:N507" si="229">AVERAGE(J504/I504*100)</f>
        <v>0</v>
      </c>
      <c r="N504" s="426" t="e">
        <f t="shared" si="229"/>
        <v>#DIV/0!</v>
      </c>
    </row>
    <row r="505" spans="1:14" ht="15" thickTop="1" x14ac:dyDescent="0.2">
      <c r="A505" s="378" t="s">
        <v>666</v>
      </c>
      <c r="B505" s="486"/>
      <c r="C505" s="390">
        <v>454</v>
      </c>
      <c r="D505" s="391" t="s">
        <v>490</v>
      </c>
      <c r="E505" s="386">
        <v>30000</v>
      </c>
      <c r="F505" s="386">
        <f t="shared" ref="F505:L505" si="230">SUM(F506)</f>
        <v>30000</v>
      </c>
      <c r="G505" s="386">
        <f t="shared" si="230"/>
        <v>3981.6842524387812</v>
      </c>
      <c r="H505" s="386">
        <f>SUM(H506+H507)</f>
        <v>46500</v>
      </c>
      <c r="I505" s="386">
        <f>SUM(I506+I507)</f>
        <v>66500</v>
      </c>
      <c r="J505" s="386">
        <f t="shared" si="230"/>
        <v>0</v>
      </c>
      <c r="K505" s="386">
        <f t="shared" si="230"/>
        <v>0</v>
      </c>
      <c r="L505" s="578">
        <f t="shared" si="230"/>
        <v>0</v>
      </c>
      <c r="M505" s="408">
        <f t="shared" si="229"/>
        <v>0</v>
      </c>
      <c r="N505" s="426" t="e">
        <f t="shared" si="229"/>
        <v>#DIV/0!</v>
      </c>
    </row>
    <row r="506" spans="1:14" ht="14.25" x14ac:dyDescent="0.2">
      <c r="A506" s="378" t="s">
        <v>666</v>
      </c>
      <c r="B506" s="486"/>
      <c r="C506" s="390">
        <v>4541</v>
      </c>
      <c r="D506" s="391" t="s">
        <v>490</v>
      </c>
      <c r="E506" s="386">
        <v>30000</v>
      </c>
      <c r="F506" s="386">
        <v>30000</v>
      </c>
      <c r="G506" s="386">
        <f>F506/7.5345</f>
        <v>3981.6842524387812</v>
      </c>
      <c r="H506" s="386">
        <v>32000</v>
      </c>
      <c r="I506" s="386">
        <v>34500</v>
      </c>
      <c r="J506" s="386">
        <v>0</v>
      </c>
      <c r="K506" s="386">
        <v>0</v>
      </c>
      <c r="L506" s="578">
        <f>K506*7.5345</f>
        <v>0</v>
      </c>
      <c r="M506" s="408">
        <f t="shared" si="229"/>
        <v>0</v>
      </c>
      <c r="N506" s="426" t="e">
        <f t="shared" si="229"/>
        <v>#DIV/0!</v>
      </c>
    </row>
    <row r="507" spans="1:14" ht="33.75" customHeight="1" thickBot="1" x14ac:dyDescent="0.25">
      <c r="A507" s="378" t="s">
        <v>666</v>
      </c>
      <c r="B507" s="486"/>
      <c r="C507" s="390">
        <v>4541</v>
      </c>
      <c r="D507" s="391" t="s">
        <v>490</v>
      </c>
      <c r="E507" s="386">
        <v>30000</v>
      </c>
      <c r="F507" s="386">
        <v>30000</v>
      </c>
      <c r="G507" s="386">
        <f>F507/7.5345</f>
        <v>3981.6842524387812</v>
      </c>
      <c r="H507" s="386">
        <v>14500</v>
      </c>
      <c r="I507" s="386">
        <v>32000</v>
      </c>
      <c r="J507" s="386">
        <v>0</v>
      </c>
      <c r="K507" s="386">
        <v>0</v>
      </c>
      <c r="L507" s="578">
        <f>K507*7.5345</f>
        <v>0</v>
      </c>
      <c r="M507" s="408">
        <f t="shared" si="229"/>
        <v>0</v>
      </c>
      <c r="N507" s="426" t="e">
        <f t="shared" si="229"/>
        <v>#DIV/0!</v>
      </c>
    </row>
    <row r="508" spans="1:14" ht="30" customHeight="1" x14ac:dyDescent="0.2">
      <c r="A508" s="425"/>
      <c r="B508" s="491"/>
      <c r="C508" s="42"/>
      <c r="D508" s="420" t="s">
        <v>400</v>
      </c>
      <c r="E508" s="396"/>
      <c r="F508" s="395"/>
      <c r="G508" s="395"/>
      <c r="H508" s="395"/>
      <c r="I508" s="395"/>
      <c r="J508" s="395"/>
      <c r="K508" s="395"/>
      <c r="L508" s="575"/>
      <c r="M508" s="1007">
        <f>AVERAGE(J510/I510*100)</f>
        <v>0</v>
      </c>
      <c r="N508" s="1023" t="e">
        <f>AVERAGE(K510/J510*100)</f>
        <v>#DIV/0!</v>
      </c>
    </row>
    <row r="509" spans="1:14" ht="14.25" x14ac:dyDescent="0.2">
      <c r="A509" s="425"/>
      <c r="B509" s="491"/>
      <c r="C509" s="42"/>
      <c r="D509" s="420" t="s">
        <v>505</v>
      </c>
      <c r="E509" s="386"/>
      <c r="F509" s="395"/>
      <c r="G509" s="395"/>
      <c r="H509" s="395"/>
      <c r="I509" s="395"/>
      <c r="J509" s="395"/>
      <c r="K509" s="395"/>
      <c r="L509" s="575"/>
      <c r="M509" s="1008"/>
      <c r="N509" s="1024"/>
    </row>
    <row r="510" spans="1:14" s="42" customFormat="1" ht="32.25" customHeight="1" x14ac:dyDescent="0.25">
      <c r="A510" s="457"/>
      <c r="B510" s="492"/>
      <c r="C510" s="116"/>
      <c r="D510" s="463" t="s">
        <v>684</v>
      </c>
      <c r="E510" s="458">
        <v>160000</v>
      </c>
      <c r="F510" s="456" t="e">
        <f>SUM(F511+#REF!)</f>
        <v>#REF!</v>
      </c>
      <c r="G510" s="456" t="e">
        <f>SUM(G511+#REF!)</f>
        <v>#REF!</v>
      </c>
      <c r="H510" s="456">
        <f t="shared" ref="H510:K510" si="231">SUM(H511)</f>
        <v>0</v>
      </c>
      <c r="I510" s="456">
        <f t="shared" si="231"/>
        <v>425000</v>
      </c>
      <c r="J510" s="456">
        <f t="shared" si="231"/>
        <v>0</v>
      </c>
      <c r="K510" s="456">
        <f t="shared" si="231"/>
        <v>0</v>
      </c>
      <c r="L510" s="576" t="e">
        <f>SUM(L511+#REF!)</f>
        <v>#REF!</v>
      </c>
      <c r="M510" s="1008"/>
      <c r="N510" s="1024"/>
    </row>
    <row r="511" spans="1:14" s="42" customFormat="1" ht="15" customHeight="1" x14ac:dyDescent="0.25">
      <c r="A511" s="381" t="s">
        <v>667</v>
      </c>
      <c r="B511" s="487"/>
      <c r="C511" s="377">
        <v>45</v>
      </c>
      <c r="D511" s="388" t="s">
        <v>436</v>
      </c>
      <c r="E511" s="385">
        <v>247000</v>
      </c>
      <c r="F511" s="385">
        <f t="shared" ref="F511:L511" si="232">SUM(F512)</f>
        <v>30000</v>
      </c>
      <c r="G511" s="385">
        <f t="shared" si="232"/>
        <v>3981.6842524387812</v>
      </c>
      <c r="H511" s="385">
        <f t="shared" si="232"/>
        <v>0</v>
      </c>
      <c r="I511" s="385">
        <f>SUM(I512+I515)</f>
        <v>425000</v>
      </c>
      <c r="J511" s="385">
        <f t="shared" si="232"/>
        <v>0</v>
      </c>
      <c r="K511" s="385">
        <f t="shared" si="232"/>
        <v>0</v>
      </c>
      <c r="L511" s="579">
        <f t="shared" si="232"/>
        <v>0</v>
      </c>
      <c r="M511" s="408">
        <f t="shared" ref="M511:N517" si="233">AVERAGE(J511/I511*100)</f>
        <v>0</v>
      </c>
      <c r="N511" s="426" t="e">
        <f t="shared" si="233"/>
        <v>#DIV/0!</v>
      </c>
    </row>
    <row r="512" spans="1:14" s="116" customFormat="1" ht="15.75" x14ac:dyDescent="0.25">
      <c r="A512" s="378" t="s">
        <v>667</v>
      </c>
      <c r="B512" s="486"/>
      <c r="C512" s="390">
        <v>454</v>
      </c>
      <c r="D512" s="391" t="s">
        <v>490</v>
      </c>
      <c r="E512" s="386">
        <v>30000</v>
      </c>
      <c r="F512" s="386">
        <f t="shared" ref="F512:L512" si="234">SUM(F513)</f>
        <v>30000</v>
      </c>
      <c r="G512" s="386">
        <f t="shared" si="234"/>
        <v>3981.6842524387812</v>
      </c>
      <c r="H512" s="386">
        <f>SUM(H513+H514)</f>
        <v>0</v>
      </c>
      <c r="I512" s="386">
        <f>SUM(I513+I514)</f>
        <v>415000</v>
      </c>
      <c r="J512" s="386">
        <f t="shared" si="234"/>
        <v>0</v>
      </c>
      <c r="K512" s="386">
        <f t="shared" si="234"/>
        <v>0</v>
      </c>
      <c r="L512" s="578">
        <f t="shared" si="234"/>
        <v>0</v>
      </c>
      <c r="M512" s="408">
        <f t="shared" si="233"/>
        <v>0</v>
      </c>
      <c r="N512" s="426" t="e">
        <f t="shared" si="233"/>
        <v>#DIV/0!</v>
      </c>
    </row>
    <row r="513" spans="1:14" s="29" customFormat="1" ht="14.25" x14ac:dyDescent="0.2">
      <c r="A513" s="378" t="s">
        <v>667</v>
      </c>
      <c r="B513" s="486"/>
      <c r="C513" s="390">
        <v>4541</v>
      </c>
      <c r="D513" s="391" t="s">
        <v>490</v>
      </c>
      <c r="E513" s="386">
        <v>30000</v>
      </c>
      <c r="F513" s="386">
        <v>30000</v>
      </c>
      <c r="G513" s="386">
        <f>F513/7.5345</f>
        <v>3981.6842524387812</v>
      </c>
      <c r="H513" s="386">
        <v>0</v>
      </c>
      <c r="I513" s="386">
        <v>115000</v>
      </c>
      <c r="J513" s="386">
        <v>0</v>
      </c>
      <c r="K513" s="386">
        <v>0</v>
      </c>
      <c r="L513" s="578">
        <f>K513*7.5345</f>
        <v>0</v>
      </c>
      <c r="M513" s="408">
        <f t="shared" si="233"/>
        <v>0</v>
      </c>
      <c r="N513" s="426" t="e">
        <f t="shared" si="233"/>
        <v>#DIV/0!</v>
      </c>
    </row>
    <row r="514" spans="1:14" s="42" customFormat="1" ht="14.25" x14ac:dyDescent="0.2">
      <c r="A514" s="378" t="s">
        <v>667</v>
      </c>
      <c r="B514" s="486"/>
      <c r="C514" s="390">
        <v>4541</v>
      </c>
      <c r="D514" s="391" t="s">
        <v>490</v>
      </c>
      <c r="E514" s="386">
        <v>30000</v>
      </c>
      <c r="F514" s="386">
        <v>30000</v>
      </c>
      <c r="G514" s="386">
        <f>F514/7.5345</f>
        <v>3981.6842524387812</v>
      </c>
      <c r="H514" s="386">
        <v>0</v>
      </c>
      <c r="I514" s="386">
        <v>300000</v>
      </c>
      <c r="J514" s="386">
        <v>0</v>
      </c>
      <c r="K514" s="386">
        <v>0</v>
      </c>
      <c r="L514" s="578">
        <f>K514*7.5345</f>
        <v>0</v>
      </c>
      <c r="M514" s="408">
        <f t="shared" si="233"/>
        <v>0</v>
      </c>
      <c r="N514" s="426" t="e">
        <f t="shared" si="233"/>
        <v>#DIV/0!</v>
      </c>
    </row>
    <row r="515" spans="1:14" s="682" customFormat="1" ht="15" thickBot="1" x14ac:dyDescent="0.25">
      <c r="A515" s="394" t="s">
        <v>571</v>
      </c>
      <c r="B515" s="486"/>
      <c r="C515" s="390">
        <v>323</v>
      </c>
      <c r="D515" s="391" t="s">
        <v>56</v>
      </c>
      <c r="E515" s="386">
        <f>SUM(E516:E524)</f>
        <v>280000</v>
      </c>
      <c r="F515" s="386" t="e">
        <f>SUM(F516:F524)</f>
        <v>#REF!</v>
      </c>
      <c r="G515" s="386" t="e">
        <f>SUM(G516:G524)</f>
        <v>#REF!</v>
      </c>
      <c r="H515" s="386">
        <f t="shared" ref="H515:K515" si="235">(H516)</f>
        <v>0</v>
      </c>
      <c r="I515" s="386">
        <f t="shared" si="235"/>
        <v>10000</v>
      </c>
      <c r="J515" s="386">
        <f t="shared" si="235"/>
        <v>0</v>
      </c>
      <c r="K515" s="386">
        <f t="shared" si="235"/>
        <v>0</v>
      </c>
      <c r="L515" s="578" t="e">
        <f>SUM(L516:L524)</f>
        <v>#REF!</v>
      </c>
      <c r="M515" s="403">
        <f t="shared" si="233"/>
        <v>0</v>
      </c>
      <c r="N515" s="427" t="e">
        <f t="shared" si="233"/>
        <v>#DIV/0!</v>
      </c>
    </row>
    <row r="516" spans="1:14" ht="15" thickTop="1" x14ac:dyDescent="0.2">
      <c r="A516" s="792" t="s">
        <v>667</v>
      </c>
      <c r="B516" s="737"/>
      <c r="C516" s="390">
        <v>3237</v>
      </c>
      <c r="D516" s="391" t="s">
        <v>554</v>
      </c>
      <c r="E516" s="386">
        <v>140000</v>
      </c>
      <c r="F516" s="386">
        <v>200000</v>
      </c>
      <c r="G516" s="386">
        <f>F516/7.5345</f>
        <v>26544.56168292521</v>
      </c>
      <c r="H516" s="386">
        <v>0</v>
      </c>
      <c r="I516" s="386">
        <v>10000</v>
      </c>
      <c r="J516" s="386">
        <v>0</v>
      </c>
      <c r="K516" s="386">
        <v>0</v>
      </c>
      <c r="L516" s="578">
        <f>K516*7.5345</f>
        <v>0</v>
      </c>
      <c r="M516" s="403">
        <f t="shared" si="233"/>
        <v>0</v>
      </c>
      <c r="N516" s="427" t="e">
        <f t="shared" si="233"/>
        <v>#DIV/0!</v>
      </c>
    </row>
    <row r="517" spans="1:14" ht="15" thickBot="1" x14ac:dyDescent="0.25">
      <c r="A517" s="756" t="s">
        <v>667</v>
      </c>
      <c r="B517" s="746"/>
      <c r="C517" s="410">
        <v>3237</v>
      </c>
      <c r="D517" s="411" t="s">
        <v>554</v>
      </c>
      <c r="E517" s="412">
        <v>140000</v>
      </c>
      <c r="F517" s="412">
        <v>200000</v>
      </c>
      <c r="G517" s="412">
        <f>F517/7.5345</f>
        <v>26544.56168292521</v>
      </c>
      <c r="H517" s="412">
        <v>0</v>
      </c>
      <c r="I517" s="412">
        <v>0</v>
      </c>
      <c r="J517" s="412">
        <v>0</v>
      </c>
      <c r="K517" s="412">
        <v>0</v>
      </c>
      <c r="L517" s="580">
        <f>K517*7.5345</f>
        <v>0</v>
      </c>
      <c r="M517" s="413" t="e">
        <f t="shared" si="233"/>
        <v>#DIV/0!</v>
      </c>
      <c r="N517" s="430" t="e">
        <f t="shared" si="233"/>
        <v>#DIV/0!</v>
      </c>
    </row>
    <row r="518" spans="1:14" s="116" customFormat="1" ht="16.5" thickTop="1" x14ac:dyDescent="0.25">
      <c r="A518" s="425"/>
      <c r="B518" s="491"/>
      <c r="C518" s="42"/>
      <c r="D518" s="420" t="s">
        <v>401</v>
      </c>
      <c r="E518" s="396"/>
      <c r="F518" s="395"/>
      <c r="G518" s="395"/>
      <c r="H518" s="395"/>
      <c r="I518" s="395"/>
      <c r="J518" s="395"/>
      <c r="K518" s="395"/>
      <c r="L518" s="575"/>
      <c r="M518" s="1007">
        <f>AVERAGE(J520/I520*100)</f>
        <v>57.142857142857139</v>
      </c>
      <c r="N518" s="1021">
        <f>AVERAGE(K520/J520*100)</f>
        <v>100</v>
      </c>
    </row>
    <row r="519" spans="1:14" s="29" customFormat="1" ht="14.25" x14ac:dyDescent="0.2">
      <c r="A519" s="425"/>
      <c r="B519" s="491"/>
      <c r="C519" s="42"/>
      <c r="D519" s="420" t="s">
        <v>498</v>
      </c>
      <c r="E519" s="386"/>
      <c r="F519" s="395"/>
      <c r="G519" s="395"/>
      <c r="H519" s="395"/>
      <c r="I519" s="395"/>
      <c r="J519" s="395"/>
      <c r="K519" s="395"/>
      <c r="L519" s="575"/>
      <c r="M519" s="1008"/>
      <c r="N519" s="1021"/>
    </row>
    <row r="520" spans="1:14" s="29" customFormat="1" ht="31.5" x14ac:dyDescent="0.25">
      <c r="A520" s="457"/>
      <c r="B520" s="492"/>
      <c r="C520" s="116"/>
      <c r="D520" s="856" t="s">
        <v>685</v>
      </c>
      <c r="E520" s="458">
        <v>0</v>
      </c>
      <c r="F520" s="456" t="e">
        <f t="shared" ref="F520:L522" si="236">SUM(F521)</f>
        <v>#REF!</v>
      </c>
      <c r="G520" s="456" t="e">
        <f t="shared" si="236"/>
        <v>#REF!</v>
      </c>
      <c r="H520" s="456">
        <f t="shared" si="236"/>
        <v>100000</v>
      </c>
      <c r="I520" s="456">
        <f t="shared" si="236"/>
        <v>70000</v>
      </c>
      <c r="J520" s="456">
        <f t="shared" si="236"/>
        <v>40000</v>
      </c>
      <c r="K520" s="456">
        <f t="shared" si="236"/>
        <v>40000</v>
      </c>
      <c r="L520" s="576" t="e">
        <f t="shared" si="236"/>
        <v>#REF!</v>
      </c>
      <c r="M520" s="1008"/>
      <c r="N520" s="1022"/>
    </row>
    <row r="521" spans="1:14" ht="15" x14ac:dyDescent="0.25">
      <c r="A521" s="381" t="s">
        <v>668</v>
      </c>
      <c r="B521" s="487"/>
      <c r="C521" s="377">
        <v>42</v>
      </c>
      <c r="D521" s="388" t="s">
        <v>248</v>
      </c>
      <c r="E521" s="385">
        <v>0</v>
      </c>
      <c r="F521" s="385" t="e">
        <f t="shared" si="236"/>
        <v>#REF!</v>
      </c>
      <c r="G521" s="385" t="e">
        <f t="shared" si="236"/>
        <v>#REF!</v>
      </c>
      <c r="H521" s="385">
        <f t="shared" si="236"/>
        <v>100000</v>
      </c>
      <c r="I521" s="385">
        <f t="shared" si="236"/>
        <v>70000</v>
      </c>
      <c r="J521" s="385">
        <f t="shared" si="236"/>
        <v>40000</v>
      </c>
      <c r="K521" s="385">
        <f t="shared" si="236"/>
        <v>40000</v>
      </c>
      <c r="L521" s="579" t="e">
        <f t="shared" si="236"/>
        <v>#REF!</v>
      </c>
      <c r="M521" s="408">
        <f t="shared" ref="M521:N523" si="237">AVERAGE(J521/I521*100)</f>
        <v>57.142857142857139</v>
      </c>
      <c r="N521" s="426">
        <f t="shared" si="237"/>
        <v>100</v>
      </c>
    </row>
    <row r="522" spans="1:14" ht="14.25" x14ac:dyDescent="0.2">
      <c r="A522" s="378" t="s">
        <v>668</v>
      </c>
      <c r="B522" s="486"/>
      <c r="C522" s="390">
        <v>421</v>
      </c>
      <c r="D522" s="391" t="s">
        <v>97</v>
      </c>
      <c r="E522" s="386">
        <v>0</v>
      </c>
      <c r="F522" s="386" t="e">
        <f>SUM(F523+#REF!)</f>
        <v>#REF!</v>
      </c>
      <c r="G522" s="386" t="e">
        <f>SUM(G523+#REF!)</f>
        <v>#REF!</v>
      </c>
      <c r="H522" s="386">
        <f>SUM(H523)</f>
        <v>100000</v>
      </c>
      <c r="I522" s="386">
        <f>SUM(I523)</f>
        <v>70000</v>
      </c>
      <c r="J522" s="386">
        <f t="shared" si="236"/>
        <v>40000</v>
      </c>
      <c r="K522" s="386">
        <f t="shared" si="236"/>
        <v>40000</v>
      </c>
      <c r="L522" s="578" t="e">
        <f>SUM(L523+#REF!)</f>
        <v>#REF!</v>
      </c>
      <c r="M522" s="408">
        <f t="shared" si="237"/>
        <v>57.142857142857139</v>
      </c>
      <c r="N522" s="426">
        <f t="shared" si="237"/>
        <v>100</v>
      </c>
    </row>
    <row r="523" spans="1:14" ht="15" customHeight="1" thickBot="1" x14ac:dyDescent="0.25">
      <c r="A523" s="378" t="s">
        <v>668</v>
      </c>
      <c r="B523" s="488"/>
      <c r="C523" s="410">
        <v>4214</v>
      </c>
      <c r="D523" s="411" t="s">
        <v>249</v>
      </c>
      <c r="E523" s="412">
        <v>0</v>
      </c>
      <c r="F523" s="412">
        <v>300000</v>
      </c>
      <c r="G523" s="412">
        <f>F523/7.5345</f>
        <v>39816.842524387816</v>
      </c>
      <c r="H523" s="412">
        <v>100000</v>
      </c>
      <c r="I523" s="412">
        <v>70000</v>
      </c>
      <c r="J523" s="412">
        <v>40000</v>
      </c>
      <c r="K523" s="412">
        <v>40000</v>
      </c>
      <c r="L523" s="580">
        <f>K523*7.5345</f>
        <v>301380</v>
      </c>
      <c r="M523" s="477">
        <f t="shared" si="237"/>
        <v>57.142857142857139</v>
      </c>
      <c r="N523" s="478">
        <f t="shared" si="237"/>
        <v>100</v>
      </c>
    </row>
    <row r="524" spans="1:14" ht="15" thickTop="1" x14ac:dyDescent="0.2">
      <c r="A524" s="1012"/>
      <c r="B524" s="1013"/>
      <c r="C524" s="1014"/>
      <c r="D524" s="420" t="s">
        <v>401</v>
      </c>
      <c r="E524" s="396"/>
      <c r="F524" s="395"/>
      <c r="G524" s="395"/>
      <c r="H524" s="395"/>
      <c r="I524" s="395"/>
      <c r="J524" s="395"/>
      <c r="K524" s="395"/>
      <c r="L524" s="575"/>
      <c r="M524" s="1007">
        <v>0</v>
      </c>
      <c r="N524" s="1021">
        <v>0</v>
      </c>
    </row>
    <row r="525" spans="1:14" ht="14.25" x14ac:dyDescent="0.2">
      <c r="A525" s="1012"/>
      <c r="B525" s="1013"/>
      <c r="C525" s="1014"/>
      <c r="D525" s="420" t="s">
        <v>193</v>
      </c>
      <c r="E525" s="386"/>
      <c r="F525" s="395"/>
      <c r="G525" s="395"/>
      <c r="H525" s="395"/>
      <c r="I525" s="395"/>
      <c r="J525" s="395"/>
      <c r="K525" s="395"/>
      <c r="L525" s="575"/>
      <c r="M525" s="1008"/>
      <c r="N525" s="1021"/>
    </row>
    <row r="526" spans="1:14" ht="31.5" x14ac:dyDescent="0.25">
      <c r="A526" s="1015"/>
      <c r="B526" s="1016"/>
      <c r="C526" s="1017"/>
      <c r="D526" s="463" t="s">
        <v>686</v>
      </c>
      <c r="E526" s="458">
        <v>100000</v>
      </c>
      <c r="F526" s="456">
        <f t="shared" ref="F526:L527" si="238">SUM(F527)</f>
        <v>0</v>
      </c>
      <c r="G526" s="456">
        <f t="shared" si="238"/>
        <v>0</v>
      </c>
      <c r="H526" s="456">
        <f t="shared" si="238"/>
        <v>0</v>
      </c>
      <c r="I526" s="456">
        <f t="shared" si="238"/>
        <v>5000</v>
      </c>
      <c r="J526" s="456">
        <f t="shared" si="238"/>
        <v>30000</v>
      </c>
      <c r="K526" s="456">
        <f t="shared" si="238"/>
        <v>0</v>
      </c>
      <c r="L526" s="576">
        <f t="shared" si="238"/>
        <v>0</v>
      </c>
      <c r="M526" s="1008"/>
      <c r="N526" s="1022"/>
    </row>
    <row r="527" spans="1:14" ht="15" x14ac:dyDescent="0.25">
      <c r="A527" s="381" t="s">
        <v>669</v>
      </c>
      <c r="B527" s="487"/>
      <c r="C527" s="377">
        <v>42</v>
      </c>
      <c r="D527" s="388" t="s">
        <v>248</v>
      </c>
      <c r="E527" s="385">
        <v>100000</v>
      </c>
      <c r="F527" s="385">
        <f t="shared" si="238"/>
        <v>0</v>
      </c>
      <c r="G527" s="385">
        <f t="shared" si="238"/>
        <v>0</v>
      </c>
      <c r="H527" s="385">
        <f t="shared" si="238"/>
        <v>0</v>
      </c>
      <c r="I527" s="385">
        <f t="shared" si="238"/>
        <v>5000</v>
      </c>
      <c r="J527" s="385">
        <f t="shared" si="238"/>
        <v>30000</v>
      </c>
      <c r="K527" s="385">
        <f t="shared" si="238"/>
        <v>0</v>
      </c>
      <c r="L527" s="579">
        <f t="shared" si="238"/>
        <v>0</v>
      </c>
      <c r="M527" s="408">
        <v>0</v>
      </c>
      <c r="N527" s="426">
        <v>0</v>
      </c>
    </row>
    <row r="528" spans="1:14" s="446" customFormat="1" ht="18" x14ac:dyDescent="0.25">
      <c r="A528" s="381" t="s">
        <v>669</v>
      </c>
      <c r="B528" s="486"/>
      <c r="C528" s="390">
        <v>421</v>
      </c>
      <c r="D528" s="391" t="s">
        <v>97</v>
      </c>
      <c r="E528" s="386">
        <v>100000</v>
      </c>
      <c r="F528" s="386">
        <f t="shared" ref="F528:L528" si="239">SUM(F529:F529)</f>
        <v>0</v>
      </c>
      <c r="G528" s="386">
        <f t="shared" si="239"/>
        <v>0</v>
      </c>
      <c r="H528" s="386">
        <f t="shared" si="239"/>
        <v>0</v>
      </c>
      <c r="I528" s="386">
        <f t="shared" si="239"/>
        <v>5000</v>
      </c>
      <c r="J528" s="386">
        <f t="shared" si="239"/>
        <v>30000</v>
      </c>
      <c r="K528" s="386">
        <f t="shared" si="239"/>
        <v>0</v>
      </c>
      <c r="L528" s="578">
        <f t="shared" si="239"/>
        <v>0</v>
      </c>
      <c r="M528" s="408">
        <v>0</v>
      </c>
      <c r="N528" s="426">
        <v>0</v>
      </c>
    </row>
    <row r="529" spans="1:14" ht="15.75" thickBot="1" x14ac:dyDescent="0.3">
      <c r="A529" s="381" t="s">
        <v>669</v>
      </c>
      <c r="B529" s="494"/>
      <c r="C529" s="410">
        <v>4214</v>
      </c>
      <c r="D529" s="411" t="s">
        <v>249</v>
      </c>
      <c r="E529" s="467">
        <v>100000</v>
      </c>
      <c r="F529" s="467">
        <v>0</v>
      </c>
      <c r="G529" s="412">
        <f>F529/7.5345</f>
        <v>0</v>
      </c>
      <c r="H529" s="412">
        <f>F529/7.5345</f>
        <v>0</v>
      </c>
      <c r="I529" s="412">
        <v>5000</v>
      </c>
      <c r="J529" s="412">
        <v>30000</v>
      </c>
      <c r="K529" s="412">
        <v>0</v>
      </c>
      <c r="L529" s="580">
        <f>K529*7.5345</f>
        <v>0</v>
      </c>
      <c r="M529" s="477">
        <v>0</v>
      </c>
      <c r="N529" s="478">
        <v>0</v>
      </c>
    </row>
    <row r="530" spans="1:14" ht="29.25" thickTop="1" x14ac:dyDescent="0.2">
      <c r="A530" s="425"/>
      <c r="B530" s="491"/>
      <c r="C530" s="42"/>
      <c r="D530" s="420" t="s">
        <v>400</v>
      </c>
      <c r="E530" s="396"/>
      <c r="F530" s="395"/>
      <c r="G530" s="395"/>
      <c r="H530" s="395"/>
      <c r="I530" s="395"/>
      <c r="J530" s="395"/>
      <c r="K530" s="395"/>
      <c r="L530" s="575"/>
      <c r="M530" s="843"/>
      <c r="N530" s="884"/>
    </row>
    <row r="531" spans="1:14" s="116" customFormat="1" ht="15.75" x14ac:dyDescent="0.25">
      <c r="A531" s="425"/>
      <c r="B531" s="491"/>
      <c r="C531" s="42"/>
      <c r="D531" s="420" t="s">
        <v>401</v>
      </c>
      <c r="E531" s="396"/>
      <c r="F531" s="395"/>
      <c r="G531" s="395"/>
      <c r="H531" s="395"/>
      <c r="I531" s="395"/>
      <c r="J531" s="395"/>
      <c r="K531" s="395"/>
      <c r="L531" s="575"/>
      <c r="M531" s="964">
        <f>AVERAGE(J533/I533*100)</f>
        <v>0</v>
      </c>
      <c r="N531" s="993" t="e">
        <f>AVERAGE(K533/J533*100)</f>
        <v>#DIV/0!</v>
      </c>
    </row>
    <row r="532" spans="1:14" s="29" customFormat="1" ht="14.25" x14ac:dyDescent="0.2">
      <c r="A532" s="425"/>
      <c r="B532" s="491"/>
      <c r="C532" s="42"/>
      <c r="D532" s="420" t="s">
        <v>505</v>
      </c>
      <c r="E532" s="386"/>
      <c r="F532" s="395"/>
      <c r="G532" s="395"/>
      <c r="H532" s="395"/>
      <c r="I532" s="395"/>
      <c r="J532" s="395"/>
      <c r="K532" s="395"/>
      <c r="L532" s="575"/>
      <c r="M532" s="965"/>
      <c r="N532" s="993"/>
    </row>
    <row r="533" spans="1:14" ht="31.5" x14ac:dyDescent="0.25">
      <c r="A533" s="457"/>
      <c r="B533" s="492"/>
      <c r="C533" s="116"/>
      <c r="D533" s="463" t="s">
        <v>687</v>
      </c>
      <c r="E533" s="458">
        <v>100000</v>
      </c>
      <c r="F533" s="456">
        <f t="shared" ref="F533:L533" si="240">SUM(F534)</f>
        <v>200000</v>
      </c>
      <c r="G533" s="456">
        <f t="shared" si="240"/>
        <v>26544.56168292521</v>
      </c>
      <c r="H533" s="456">
        <f>SUM(H534+H540+H550)</f>
        <v>1218500</v>
      </c>
      <c r="I533" s="456">
        <f t="shared" ref="I533:K533" si="241">SUM(I534+I540+I550)</f>
        <v>60800</v>
      </c>
      <c r="J533" s="456">
        <f t="shared" si="241"/>
        <v>0</v>
      </c>
      <c r="K533" s="456">
        <f t="shared" si="241"/>
        <v>0</v>
      </c>
      <c r="L533" s="576">
        <f t="shared" si="240"/>
        <v>0</v>
      </c>
      <c r="M533" s="965"/>
      <c r="N533" s="967"/>
    </row>
    <row r="534" spans="1:14" ht="15" x14ac:dyDescent="0.25">
      <c r="A534" s="381" t="s">
        <v>670</v>
      </c>
      <c r="B534" s="487"/>
      <c r="C534" s="377">
        <v>42</v>
      </c>
      <c r="D534" s="388" t="s">
        <v>248</v>
      </c>
      <c r="E534" s="385">
        <v>100000</v>
      </c>
      <c r="F534" s="385">
        <f>SUM(F535)</f>
        <v>200000</v>
      </c>
      <c r="G534" s="385">
        <f>SUM(G535)</f>
        <v>26544.56168292521</v>
      </c>
      <c r="H534" s="385">
        <f t="shared" ref="H534" si="242">SUM(H535+H538)</f>
        <v>1165000</v>
      </c>
      <c r="I534" s="385">
        <f t="shared" ref="I534" si="243">SUM(I535+I538)</f>
        <v>0</v>
      </c>
      <c r="J534" s="385">
        <f t="shared" ref="J534" si="244">SUM(J535+J538)</f>
        <v>0</v>
      </c>
      <c r="K534" s="385">
        <f t="shared" ref="K534" si="245">SUM(K535+K538)</f>
        <v>0</v>
      </c>
      <c r="L534" s="579">
        <f>SUM(L535)</f>
        <v>0</v>
      </c>
      <c r="M534" s="408" t="e">
        <f t="shared" ref="M534:N539" si="246">AVERAGE(J534/I534*100)</f>
        <v>#DIV/0!</v>
      </c>
      <c r="N534" s="426" t="e">
        <f t="shared" si="246"/>
        <v>#DIV/0!</v>
      </c>
    </row>
    <row r="535" spans="1:14" ht="14.25" x14ac:dyDescent="0.2">
      <c r="A535" s="378" t="s">
        <v>670</v>
      </c>
      <c r="B535" s="486"/>
      <c r="C535" s="390">
        <v>421</v>
      </c>
      <c r="D535" s="391" t="s">
        <v>97</v>
      </c>
      <c r="E535" s="386">
        <v>100000</v>
      </c>
      <c r="F535" s="386">
        <f>SUM(F536:F537)</f>
        <v>200000</v>
      </c>
      <c r="G535" s="386">
        <f>SUM(G536:G537)</f>
        <v>26544.56168292521</v>
      </c>
      <c r="H535" s="386">
        <f>SUM(H536+H537)</f>
        <v>390000</v>
      </c>
      <c r="I535" s="386">
        <f t="shared" ref="I535:K535" si="247">SUM(I536+I537)</f>
        <v>0</v>
      </c>
      <c r="J535" s="386">
        <f t="shared" si="247"/>
        <v>0</v>
      </c>
      <c r="K535" s="386">
        <f t="shared" si="247"/>
        <v>0</v>
      </c>
      <c r="L535" s="578">
        <f>SUM(L536:L537)</f>
        <v>0</v>
      </c>
      <c r="M535" s="408" t="e">
        <f t="shared" si="246"/>
        <v>#DIV/0!</v>
      </c>
      <c r="N535" s="426" t="e">
        <f t="shared" si="246"/>
        <v>#DIV/0!</v>
      </c>
    </row>
    <row r="536" spans="1:14" ht="14.25" x14ac:dyDescent="0.2">
      <c r="A536" s="378" t="s">
        <v>670</v>
      </c>
      <c r="B536" s="486"/>
      <c r="C536" s="390">
        <v>4214</v>
      </c>
      <c r="D536" s="391" t="s">
        <v>249</v>
      </c>
      <c r="E536" s="386">
        <v>100000</v>
      </c>
      <c r="F536" s="386">
        <v>0</v>
      </c>
      <c r="G536" s="386">
        <v>0</v>
      </c>
      <c r="H536" s="386">
        <v>195000</v>
      </c>
      <c r="I536" s="386">
        <v>0</v>
      </c>
      <c r="J536" s="386">
        <v>0</v>
      </c>
      <c r="K536" s="386">
        <v>0</v>
      </c>
      <c r="L536" s="578">
        <v>0</v>
      </c>
      <c r="M536" s="408" t="e">
        <f t="shared" si="246"/>
        <v>#DIV/0!</v>
      </c>
      <c r="N536" s="426" t="e">
        <f t="shared" si="246"/>
        <v>#DIV/0!</v>
      </c>
    </row>
    <row r="537" spans="1:14" ht="14.25" x14ac:dyDescent="0.2">
      <c r="A537" s="379" t="s">
        <v>670</v>
      </c>
      <c r="B537" s="493"/>
      <c r="C537" s="423">
        <v>4214</v>
      </c>
      <c r="D537" s="393" t="s">
        <v>249</v>
      </c>
      <c r="E537" s="384">
        <v>100000</v>
      </c>
      <c r="F537" s="384">
        <v>200000</v>
      </c>
      <c r="G537" s="384">
        <f>F537/7.5345</f>
        <v>26544.56168292521</v>
      </c>
      <c r="H537" s="384">
        <v>195000</v>
      </c>
      <c r="I537" s="384">
        <v>0</v>
      </c>
      <c r="J537" s="384">
        <v>0</v>
      </c>
      <c r="K537" s="386">
        <v>0</v>
      </c>
      <c r="L537" s="578">
        <f>K537*7.5345</f>
        <v>0</v>
      </c>
      <c r="M537" s="403" t="e">
        <f t="shared" si="246"/>
        <v>#DIV/0!</v>
      </c>
      <c r="N537" s="403" t="e">
        <f t="shared" si="246"/>
        <v>#DIV/0!</v>
      </c>
    </row>
    <row r="538" spans="1:14" ht="14.25" x14ac:dyDescent="0.2">
      <c r="A538" s="389" t="s">
        <v>670</v>
      </c>
      <c r="B538" s="486"/>
      <c r="C538" s="390">
        <v>421</v>
      </c>
      <c r="D538" s="391" t="s">
        <v>97</v>
      </c>
      <c r="E538" s="386"/>
      <c r="F538" s="386"/>
      <c r="G538" s="386"/>
      <c r="H538" s="386">
        <f t="shared" ref="H538:K538" si="248">SUM(H539)</f>
        <v>775000</v>
      </c>
      <c r="I538" s="386">
        <f t="shared" ref="I538" si="249">SUM(I539)</f>
        <v>0</v>
      </c>
      <c r="J538" s="386">
        <v>0</v>
      </c>
      <c r="K538" s="386">
        <f t="shared" si="248"/>
        <v>0</v>
      </c>
      <c r="L538" s="578"/>
      <c r="M538" s="403" t="e">
        <f t="shared" si="246"/>
        <v>#DIV/0!</v>
      </c>
      <c r="N538" s="403" t="e">
        <f t="shared" si="246"/>
        <v>#DIV/0!</v>
      </c>
    </row>
    <row r="539" spans="1:14" s="29" customFormat="1" ht="14.25" x14ac:dyDescent="0.2">
      <c r="A539" s="378" t="s">
        <v>670</v>
      </c>
      <c r="B539" s="486"/>
      <c r="C539" s="390">
        <v>4214</v>
      </c>
      <c r="D539" s="391" t="s">
        <v>249</v>
      </c>
      <c r="E539" s="386"/>
      <c r="F539" s="386"/>
      <c r="G539" s="386"/>
      <c r="H539" s="386">
        <v>775000</v>
      </c>
      <c r="I539" s="386">
        <v>0</v>
      </c>
      <c r="J539" s="386">
        <v>0</v>
      </c>
      <c r="K539" s="386">
        <v>0</v>
      </c>
      <c r="L539" s="578"/>
      <c r="M539" s="403" t="e">
        <f t="shared" si="246"/>
        <v>#DIV/0!</v>
      </c>
      <c r="N539" s="427" t="e">
        <f t="shared" si="246"/>
        <v>#DIV/0!</v>
      </c>
    </row>
    <row r="540" spans="1:14" ht="15" x14ac:dyDescent="0.25">
      <c r="A540" s="381" t="s">
        <v>670</v>
      </c>
      <c r="B540" s="487"/>
      <c r="C540" s="377">
        <v>32</v>
      </c>
      <c r="D540" s="388" t="s">
        <v>47</v>
      </c>
      <c r="E540" s="385"/>
      <c r="F540" s="385"/>
      <c r="G540" s="385"/>
      <c r="H540" s="385">
        <f>SUM(H541)</f>
        <v>53500</v>
      </c>
      <c r="I540" s="385">
        <f t="shared" ref="I540:J540" si="250">SUM(I541)</f>
        <v>17200</v>
      </c>
      <c r="J540" s="385">
        <f t="shared" si="250"/>
        <v>0</v>
      </c>
      <c r="K540" s="385">
        <f t="shared" ref="K540" si="251">SUM(K541)</f>
        <v>0</v>
      </c>
      <c r="L540" s="579"/>
      <c r="M540" s="877"/>
      <c r="N540" s="878"/>
    </row>
    <row r="541" spans="1:14" ht="14.25" x14ac:dyDescent="0.2">
      <c r="A541" s="394" t="s">
        <v>670</v>
      </c>
      <c r="B541" s="486"/>
      <c r="C541" s="390">
        <v>323</v>
      </c>
      <c r="D541" s="391" t="s">
        <v>56</v>
      </c>
      <c r="E541" s="386">
        <f>SUM(E542:E561)</f>
        <v>3260000</v>
      </c>
      <c r="F541" s="386">
        <f>SUM(F542:F561)</f>
        <v>4750000</v>
      </c>
      <c r="G541" s="386">
        <f>SUM(G542:G561)</f>
        <v>630433.33996947389</v>
      </c>
      <c r="H541" s="386">
        <f>SUM(H542+H543+H544+H546+H548+H549)</f>
        <v>53500</v>
      </c>
      <c r="I541" s="386">
        <f>SUM(I542:I549)</f>
        <v>17200</v>
      </c>
      <c r="J541" s="386">
        <f t="shared" ref="J541:K541" si="252">SUM(J542+J543+J544+J546+J548+J549)</f>
        <v>0</v>
      </c>
      <c r="K541" s="386">
        <f t="shared" si="252"/>
        <v>0</v>
      </c>
      <c r="L541" s="578">
        <f>SUM(L542:L561)</f>
        <v>1732935</v>
      </c>
      <c r="M541" s="403">
        <f t="shared" ref="M541:M549" si="253">AVERAGE(J541/I541*100)</f>
        <v>0</v>
      </c>
      <c r="N541" s="427" t="e">
        <f t="shared" ref="N541:N549" si="254">AVERAGE(K541/J541*100)</f>
        <v>#DIV/0!</v>
      </c>
    </row>
    <row r="542" spans="1:14" ht="14.25" x14ac:dyDescent="0.2">
      <c r="A542" s="792" t="s">
        <v>670</v>
      </c>
      <c r="B542" s="737"/>
      <c r="C542" s="390">
        <v>3237</v>
      </c>
      <c r="D542" s="391" t="s">
        <v>556</v>
      </c>
      <c r="E542" s="386">
        <v>140000</v>
      </c>
      <c r="F542" s="386">
        <v>200000</v>
      </c>
      <c r="G542" s="386">
        <f t="shared" ref="G542:G549" si="255">F542/7.5345</f>
        <v>26544.56168292521</v>
      </c>
      <c r="H542" s="386">
        <v>27625</v>
      </c>
      <c r="I542" s="386">
        <v>0</v>
      </c>
      <c r="J542" s="386">
        <v>0</v>
      </c>
      <c r="K542" s="386">
        <v>0</v>
      </c>
      <c r="L542" s="578">
        <f t="shared" ref="L542:L549" si="256">K542*7.5345</f>
        <v>0</v>
      </c>
      <c r="M542" s="403" t="e">
        <f t="shared" si="253"/>
        <v>#DIV/0!</v>
      </c>
      <c r="N542" s="427" t="e">
        <f t="shared" si="254"/>
        <v>#DIV/0!</v>
      </c>
    </row>
    <row r="543" spans="1:14" ht="14.25" x14ac:dyDescent="0.2">
      <c r="A543" s="792" t="s">
        <v>670</v>
      </c>
      <c r="B543" s="737"/>
      <c r="C543" s="390">
        <v>3237</v>
      </c>
      <c r="D543" s="391" t="s">
        <v>556</v>
      </c>
      <c r="E543" s="386">
        <v>140000</v>
      </c>
      <c r="F543" s="386">
        <v>200000</v>
      </c>
      <c r="G543" s="386">
        <f t="shared" si="255"/>
        <v>26544.56168292521</v>
      </c>
      <c r="H543" s="386">
        <v>4875</v>
      </c>
      <c r="I543" s="386">
        <v>0</v>
      </c>
      <c r="J543" s="386">
        <v>0</v>
      </c>
      <c r="K543" s="386">
        <v>0</v>
      </c>
      <c r="L543" s="578">
        <f t="shared" si="256"/>
        <v>0</v>
      </c>
      <c r="M543" s="403" t="e">
        <f t="shared" si="253"/>
        <v>#DIV/0!</v>
      </c>
      <c r="N543" s="427" t="e">
        <f t="shared" si="254"/>
        <v>#DIV/0!</v>
      </c>
    </row>
    <row r="544" spans="1:14" ht="14.25" x14ac:dyDescent="0.2">
      <c r="A544" s="792" t="s">
        <v>670</v>
      </c>
      <c r="B544" s="737"/>
      <c r="C544" s="390">
        <v>3237</v>
      </c>
      <c r="D544" s="391" t="s">
        <v>557</v>
      </c>
      <c r="E544" s="386">
        <v>140000</v>
      </c>
      <c r="F544" s="386">
        <v>200000</v>
      </c>
      <c r="G544" s="386">
        <f t="shared" si="255"/>
        <v>26544.56168292521</v>
      </c>
      <c r="H544" s="386">
        <v>14025</v>
      </c>
      <c r="I544" s="386">
        <v>700</v>
      </c>
      <c r="J544" s="386">
        <v>0</v>
      </c>
      <c r="K544" s="386">
        <v>0</v>
      </c>
      <c r="L544" s="578">
        <f t="shared" si="256"/>
        <v>0</v>
      </c>
      <c r="M544" s="403">
        <f t="shared" si="253"/>
        <v>0</v>
      </c>
      <c r="N544" s="427" t="e">
        <f t="shared" si="254"/>
        <v>#DIV/0!</v>
      </c>
    </row>
    <row r="545" spans="1:14" ht="14.25" x14ac:dyDescent="0.2">
      <c r="A545" s="792" t="s">
        <v>670</v>
      </c>
      <c r="B545" s="737"/>
      <c r="C545" s="390">
        <v>3237</v>
      </c>
      <c r="D545" s="391" t="s">
        <v>557</v>
      </c>
      <c r="E545" s="386">
        <v>140000</v>
      </c>
      <c r="F545" s="386">
        <v>200000</v>
      </c>
      <c r="G545" s="386">
        <f t="shared" si="255"/>
        <v>26544.56168292521</v>
      </c>
      <c r="H545" s="386">
        <v>14025</v>
      </c>
      <c r="I545" s="386">
        <v>700</v>
      </c>
      <c r="J545" s="386">
        <v>0</v>
      </c>
      <c r="K545" s="386">
        <v>0</v>
      </c>
      <c r="L545" s="578">
        <f t="shared" si="256"/>
        <v>0</v>
      </c>
      <c r="M545" s="403">
        <f t="shared" si="253"/>
        <v>0</v>
      </c>
      <c r="N545" s="427" t="e">
        <f t="shared" si="254"/>
        <v>#DIV/0!</v>
      </c>
    </row>
    <row r="546" spans="1:14" ht="14.25" x14ac:dyDescent="0.2">
      <c r="A546" s="792" t="s">
        <v>670</v>
      </c>
      <c r="B546" s="737"/>
      <c r="C546" s="390">
        <v>3237</v>
      </c>
      <c r="D546" s="391" t="s">
        <v>557</v>
      </c>
      <c r="E546" s="386">
        <v>140000</v>
      </c>
      <c r="F546" s="386">
        <v>200000</v>
      </c>
      <c r="G546" s="386">
        <f t="shared" si="255"/>
        <v>26544.56168292521</v>
      </c>
      <c r="H546" s="386">
        <v>2475</v>
      </c>
      <c r="I546" s="386">
        <v>8100</v>
      </c>
      <c r="J546" s="386">
        <v>0</v>
      </c>
      <c r="K546" s="386">
        <v>0</v>
      </c>
      <c r="L546" s="578">
        <f t="shared" si="256"/>
        <v>0</v>
      </c>
      <c r="M546" s="403">
        <f t="shared" si="253"/>
        <v>0</v>
      </c>
      <c r="N546" s="427" t="e">
        <f t="shared" si="254"/>
        <v>#DIV/0!</v>
      </c>
    </row>
    <row r="547" spans="1:14" ht="14.25" x14ac:dyDescent="0.2">
      <c r="A547" s="792" t="s">
        <v>670</v>
      </c>
      <c r="B547" s="737"/>
      <c r="C547" s="390">
        <v>3237</v>
      </c>
      <c r="D547" s="391" t="s">
        <v>558</v>
      </c>
      <c r="E547" s="386">
        <v>140000</v>
      </c>
      <c r="F547" s="386">
        <v>200000</v>
      </c>
      <c r="G547" s="386">
        <f t="shared" si="255"/>
        <v>26544.56168292521</v>
      </c>
      <c r="H547" s="386">
        <v>3825</v>
      </c>
      <c r="I547" s="386">
        <v>600</v>
      </c>
      <c r="J547" s="386">
        <v>0</v>
      </c>
      <c r="K547" s="386">
        <v>0</v>
      </c>
      <c r="L547" s="578">
        <f t="shared" si="256"/>
        <v>0</v>
      </c>
      <c r="M547" s="403">
        <f t="shared" si="253"/>
        <v>0</v>
      </c>
      <c r="N547" s="427" t="e">
        <f t="shared" si="254"/>
        <v>#DIV/0!</v>
      </c>
    </row>
    <row r="548" spans="1:14" ht="14.25" x14ac:dyDescent="0.2">
      <c r="A548" s="792" t="s">
        <v>670</v>
      </c>
      <c r="B548" s="737"/>
      <c r="C548" s="390">
        <v>3237</v>
      </c>
      <c r="D548" s="391" t="s">
        <v>558</v>
      </c>
      <c r="E548" s="386">
        <v>140000</v>
      </c>
      <c r="F548" s="386">
        <v>200000</v>
      </c>
      <c r="G548" s="386">
        <f t="shared" si="255"/>
        <v>26544.56168292521</v>
      </c>
      <c r="H548" s="386">
        <v>3825</v>
      </c>
      <c r="I548" s="386">
        <v>600</v>
      </c>
      <c r="J548" s="386">
        <v>0</v>
      </c>
      <c r="K548" s="386">
        <v>0</v>
      </c>
      <c r="L548" s="578">
        <f t="shared" si="256"/>
        <v>0</v>
      </c>
      <c r="M548" s="403">
        <f t="shared" si="253"/>
        <v>0</v>
      </c>
      <c r="N548" s="427" t="e">
        <f t="shared" si="254"/>
        <v>#DIV/0!</v>
      </c>
    </row>
    <row r="549" spans="1:14" ht="14.25" x14ac:dyDescent="0.2">
      <c r="A549" s="792" t="s">
        <v>670</v>
      </c>
      <c r="B549" s="737"/>
      <c r="C549" s="390">
        <v>3237</v>
      </c>
      <c r="D549" s="391" t="s">
        <v>558</v>
      </c>
      <c r="E549" s="386">
        <v>140000</v>
      </c>
      <c r="F549" s="386">
        <v>200000</v>
      </c>
      <c r="G549" s="386">
        <f t="shared" si="255"/>
        <v>26544.56168292521</v>
      </c>
      <c r="H549" s="386">
        <v>675</v>
      </c>
      <c r="I549" s="386">
        <v>6500</v>
      </c>
      <c r="J549" s="386">
        <v>0</v>
      </c>
      <c r="K549" s="386">
        <v>0</v>
      </c>
      <c r="L549" s="578">
        <f t="shared" si="256"/>
        <v>0</v>
      </c>
      <c r="M549" s="403">
        <f t="shared" si="253"/>
        <v>0</v>
      </c>
      <c r="N549" s="427" t="e">
        <f t="shared" si="254"/>
        <v>#DIV/0!</v>
      </c>
    </row>
    <row r="550" spans="1:14" ht="15" x14ac:dyDescent="0.25">
      <c r="A550" s="381" t="s">
        <v>670</v>
      </c>
      <c r="B550" s="487"/>
      <c r="C550" s="377">
        <v>42</v>
      </c>
      <c r="D550" s="388" t="s">
        <v>248</v>
      </c>
      <c r="E550" s="385"/>
      <c r="F550" s="385"/>
      <c r="G550" s="385"/>
      <c r="H550" s="385">
        <f>SUM(H551)</f>
        <v>0</v>
      </c>
      <c r="I550" s="385">
        <f t="shared" ref="I550" si="257">SUM(I551)</f>
        <v>43600</v>
      </c>
      <c r="J550" s="385">
        <f t="shared" ref="J550" si="258">SUM(J551)</f>
        <v>0</v>
      </c>
      <c r="K550" s="385">
        <f t="shared" ref="K550" si="259">SUM(K551)</f>
        <v>0</v>
      </c>
      <c r="L550" s="579"/>
      <c r="M550" s="877"/>
      <c r="N550" s="878"/>
    </row>
    <row r="551" spans="1:14" ht="14.25" x14ac:dyDescent="0.2">
      <c r="A551" s="394" t="s">
        <v>670</v>
      </c>
      <c r="B551" s="486"/>
      <c r="C551" s="390">
        <v>422</v>
      </c>
      <c r="D551" s="391" t="s">
        <v>559</v>
      </c>
      <c r="E551" s="386">
        <f>SUM(E552:E569)</f>
        <v>1320000</v>
      </c>
      <c r="F551" s="386">
        <f>SUM(F552:F569)</f>
        <v>1950000</v>
      </c>
      <c r="G551" s="386">
        <f>SUM(G552:G569)</f>
        <v>258809.4764085208</v>
      </c>
      <c r="H551" s="386">
        <f>SUM(H552+H553+H554)</f>
        <v>0</v>
      </c>
      <c r="I551" s="386">
        <f t="shared" ref="I551:K551" si="260">SUM(I552+I553+I554)</f>
        <v>43600</v>
      </c>
      <c r="J551" s="386">
        <f t="shared" si="260"/>
        <v>0</v>
      </c>
      <c r="K551" s="386">
        <f t="shared" si="260"/>
        <v>0</v>
      </c>
      <c r="L551" s="578">
        <f>SUM(L552:L569)</f>
        <v>1732935</v>
      </c>
      <c r="M551" s="403">
        <f t="shared" ref="M551:N554" si="261">AVERAGE(J551/I551*100)</f>
        <v>0</v>
      </c>
      <c r="N551" s="427" t="e">
        <f t="shared" si="261"/>
        <v>#DIV/0!</v>
      </c>
    </row>
    <row r="552" spans="1:14" ht="14.25" x14ac:dyDescent="0.2">
      <c r="A552" s="792" t="s">
        <v>670</v>
      </c>
      <c r="B552" s="737"/>
      <c r="C552" s="390">
        <v>4227</v>
      </c>
      <c r="D552" s="391" t="s">
        <v>102</v>
      </c>
      <c r="E552" s="386">
        <v>140000</v>
      </c>
      <c r="F552" s="386">
        <v>200000</v>
      </c>
      <c r="G552" s="386">
        <f>F552/7.5345</f>
        <v>26544.56168292521</v>
      </c>
      <c r="H552" s="386">
        <v>0</v>
      </c>
      <c r="I552" s="386">
        <v>3300</v>
      </c>
      <c r="J552" s="386">
        <v>0</v>
      </c>
      <c r="K552" s="386">
        <v>0</v>
      </c>
      <c r="L552" s="578">
        <f>K552*7.5345</f>
        <v>0</v>
      </c>
      <c r="M552" s="403">
        <f t="shared" si="261"/>
        <v>0</v>
      </c>
      <c r="N552" s="427" t="e">
        <f t="shared" si="261"/>
        <v>#DIV/0!</v>
      </c>
    </row>
    <row r="553" spans="1:14" ht="14.25" x14ac:dyDescent="0.2">
      <c r="A553" s="792" t="s">
        <v>670</v>
      </c>
      <c r="B553" s="737"/>
      <c r="C553" s="390">
        <v>4227</v>
      </c>
      <c r="D553" s="391" t="s">
        <v>102</v>
      </c>
      <c r="E553" s="386">
        <v>140000</v>
      </c>
      <c r="F553" s="386">
        <v>200000</v>
      </c>
      <c r="G553" s="386">
        <f>F553/7.5345</f>
        <v>26544.56168292521</v>
      </c>
      <c r="H553" s="386">
        <v>0</v>
      </c>
      <c r="I553" s="386">
        <v>3300</v>
      </c>
      <c r="J553" s="386">
        <v>0</v>
      </c>
      <c r="K553" s="386">
        <v>0</v>
      </c>
      <c r="L553" s="578">
        <f>K553*7.5345</f>
        <v>0</v>
      </c>
      <c r="M553" s="403">
        <f t="shared" si="261"/>
        <v>0</v>
      </c>
      <c r="N553" s="427" t="e">
        <f t="shared" si="261"/>
        <v>#DIV/0!</v>
      </c>
    </row>
    <row r="554" spans="1:14" ht="15" thickBot="1" x14ac:dyDescent="0.25">
      <c r="A554" s="794" t="s">
        <v>670</v>
      </c>
      <c r="B554" s="795"/>
      <c r="C554" s="465">
        <v>4227</v>
      </c>
      <c r="D554" s="466" t="s">
        <v>102</v>
      </c>
      <c r="E554" s="467">
        <v>140000</v>
      </c>
      <c r="F554" s="467">
        <v>200000</v>
      </c>
      <c r="G554" s="467">
        <f>F554/7.5345</f>
        <v>26544.56168292521</v>
      </c>
      <c r="H554" s="467">
        <v>0</v>
      </c>
      <c r="I554" s="467">
        <v>37000</v>
      </c>
      <c r="J554" s="467">
        <v>0</v>
      </c>
      <c r="K554" s="467">
        <v>0</v>
      </c>
      <c r="L554" s="582">
        <f>K554*7.5345</f>
        <v>0</v>
      </c>
      <c r="M554" s="477">
        <f t="shared" si="261"/>
        <v>0</v>
      </c>
      <c r="N554" s="478" t="e">
        <f t="shared" si="261"/>
        <v>#DIV/0!</v>
      </c>
    </row>
    <row r="555" spans="1:14" ht="15" thickTop="1" x14ac:dyDescent="0.2">
      <c r="A555" s="425"/>
      <c r="B555" s="491"/>
      <c r="C555" s="42"/>
      <c r="D555" s="420" t="s">
        <v>401</v>
      </c>
      <c r="E555" s="396"/>
      <c r="F555" s="395"/>
      <c r="G555" s="395"/>
      <c r="H555" s="395"/>
      <c r="I555" s="395"/>
      <c r="J555" s="395"/>
      <c r="K555" s="395"/>
      <c r="L555" s="575"/>
      <c r="M555" s="964" t="e">
        <f>AVERAGE(J557/I557*100)</f>
        <v>#DIV/0!</v>
      </c>
      <c r="N555" s="993">
        <f>AVERAGE(K557/J557*100)</f>
        <v>0</v>
      </c>
    </row>
    <row r="556" spans="1:14" ht="14.25" x14ac:dyDescent="0.2">
      <c r="A556" s="425"/>
      <c r="B556" s="491"/>
      <c r="C556" s="42"/>
      <c r="D556" s="419" t="s">
        <v>498</v>
      </c>
      <c r="E556" s="386"/>
      <c r="F556" s="395"/>
      <c r="G556" s="395"/>
      <c r="H556" s="395"/>
      <c r="I556" s="395"/>
      <c r="J556" s="395"/>
      <c r="K556" s="395"/>
      <c r="L556" s="575"/>
      <c r="M556" s="965"/>
      <c r="N556" s="993"/>
    </row>
    <row r="557" spans="1:14" ht="31.5" x14ac:dyDescent="0.25">
      <c r="A557" s="457"/>
      <c r="B557" s="492"/>
      <c r="C557" s="116"/>
      <c r="D557" s="463" t="s">
        <v>688</v>
      </c>
      <c r="E557" s="458">
        <v>100000</v>
      </c>
      <c r="F557" s="456">
        <f t="shared" ref="F557:L558" si="262">SUM(F558)</f>
        <v>150000</v>
      </c>
      <c r="G557" s="456">
        <f t="shared" si="262"/>
        <v>19908.421262193908</v>
      </c>
      <c r="H557" s="456">
        <f>SUM(H558)</f>
        <v>20000</v>
      </c>
      <c r="I557" s="456">
        <f>SUM(I558)</f>
        <v>0</v>
      </c>
      <c r="J557" s="456">
        <f>SUM(J558)</f>
        <v>350000</v>
      </c>
      <c r="K557" s="456">
        <f>SUM(K558)</f>
        <v>0</v>
      </c>
      <c r="L557" s="576">
        <f t="shared" si="262"/>
        <v>0</v>
      </c>
      <c r="M557" s="965"/>
      <c r="N557" s="967"/>
    </row>
    <row r="558" spans="1:14" ht="15" x14ac:dyDescent="0.25">
      <c r="A558" s="381" t="s">
        <v>671</v>
      </c>
      <c r="B558" s="487"/>
      <c r="C558" s="377">
        <v>42</v>
      </c>
      <c r="D558" s="388" t="s">
        <v>248</v>
      </c>
      <c r="E558" s="385">
        <v>100000</v>
      </c>
      <c r="F558" s="385">
        <f t="shared" si="262"/>
        <v>150000</v>
      </c>
      <c r="G558" s="385">
        <f t="shared" si="262"/>
        <v>19908.421262193908</v>
      </c>
      <c r="H558" s="385">
        <f>SUM(H559+H561)</f>
        <v>20000</v>
      </c>
      <c r="I558" s="385">
        <f>SUM(I559+I561)</f>
        <v>0</v>
      </c>
      <c r="J558" s="385">
        <f>SUM(J559+J561)</f>
        <v>350000</v>
      </c>
      <c r="K558" s="385">
        <f>SUM(K559+K561)</f>
        <v>0</v>
      </c>
      <c r="L558" s="579">
        <f t="shared" si="262"/>
        <v>0</v>
      </c>
      <c r="M558" s="408" t="e">
        <f t="shared" ref="M558:N562" si="263">AVERAGE(J558/I558*100)</f>
        <v>#DIV/0!</v>
      </c>
      <c r="N558" s="426">
        <f t="shared" si="263"/>
        <v>0</v>
      </c>
    </row>
    <row r="559" spans="1:14" ht="14.25" x14ac:dyDescent="0.2">
      <c r="A559" s="378" t="s">
        <v>671</v>
      </c>
      <c r="B559" s="486"/>
      <c r="C559" s="390">
        <v>421</v>
      </c>
      <c r="D559" s="391" t="s">
        <v>97</v>
      </c>
      <c r="E559" s="386">
        <v>100000</v>
      </c>
      <c r="F559" s="386">
        <f t="shared" ref="F559:L559" si="264">SUM(F560:F560)</f>
        <v>150000</v>
      </c>
      <c r="G559" s="386">
        <f t="shared" si="264"/>
        <v>19908.421262193908</v>
      </c>
      <c r="H559" s="386">
        <f>SUM(H560)</f>
        <v>20000</v>
      </c>
      <c r="I559" s="386">
        <f>SUM(I560)</f>
        <v>0</v>
      </c>
      <c r="J559" s="386">
        <f>SUM(J560)</f>
        <v>0</v>
      </c>
      <c r="K559" s="386">
        <f>SUM(K560)</f>
        <v>0</v>
      </c>
      <c r="L559" s="578">
        <f t="shared" si="264"/>
        <v>0</v>
      </c>
      <c r="M559" s="408" t="e">
        <f t="shared" si="263"/>
        <v>#DIV/0!</v>
      </c>
      <c r="N559" s="426" t="e">
        <f t="shared" si="263"/>
        <v>#DIV/0!</v>
      </c>
    </row>
    <row r="560" spans="1:14" ht="14.25" x14ac:dyDescent="0.2">
      <c r="A560" s="389" t="s">
        <v>671</v>
      </c>
      <c r="B560" s="486"/>
      <c r="C560" s="390">
        <v>4214</v>
      </c>
      <c r="D560" s="391" t="s">
        <v>249</v>
      </c>
      <c r="E560" s="386">
        <v>100000</v>
      </c>
      <c r="F560" s="386">
        <v>150000</v>
      </c>
      <c r="G560" s="386">
        <f>F560/7.5345</f>
        <v>19908.421262193908</v>
      </c>
      <c r="H560" s="386">
        <v>20000</v>
      </c>
      <c r="I560" s="386">
        <v>0</v>
      </c>
      <c r="J560" s="386">
        <v>0</v>
      </c>
      <c r="K560" s="386">
        <v>0</v>
      </c>
      <c r="L560" s="578">
        <f>K560*7.5345</f>
        <v>0</v>
      </c>
      <c r="M560" s="403" t="e">
        <f t="shared" si="263"/>
        <v>#DIV/0!</v>
      </c>
      <c r="N560" s="403" t="e">
        <f t="shared" si="263"/>
        <v>#DIV/0!</v>
      </c>
    </row>
    <row r="561" spans="1:14" ht="15" thickBot="1" x14ac:dyDescent="0.25">
      <c r="A561" s="389" t="s">
        <v>671</v>
      </c>
      <c r="B561" s="841"/>
      <c r="C561" s="390">
        <v>421</v>
      </c>
      <c r="D561" s="389" t="s">
        <v>97</v>
      </c>
      <c r="E561" s="841"/>
      <c r="F561" s="842"/>
      <c r="G561" s="842"/>
      <c r="H561" s="412">
        <f t="shared" ref="H561:K561" si="265">SUM(H562)</f>
        <v>0</v>
      </c>
      <c r="I561" s="412">
        <f t="shared" si="265"/>
        <v>0</v>
      </c>
      <c r="J561" s="412">
        <f t="shared" si="265"/>
        <v>350000</v>
      </c>
      <c r="K561" s="412">
        <f t="shared" si="265"/>
        <v>0</v>
      </c>
      <c r="L561" s="842"/>
      <c r="M561" s="403" t="e">
        <f t="shared" si="263"/>
        <v>#DIV/0!</v>
      </c>
      <c r="N561" s="403">
        <f t="shared" si="263"/>
        <v>0</v>
      </c>
    </row>
    <row r="562" spans="1:14" ht="15.75" thickTop="1" thickBot="1" x14ac:dyDescent="0.25">
      <c r="A562" s="707" t="s">
        <v>671</v>
      </c>
      <c r="B562" s="488"/>
      <c r="C562" s="410">
        <v>4214</v>
      </c>
      <c r="D562" s="411" t="s">
        <v>249</v>
      </c>
      <c r="E562" s="412"/>
      <c r="F562" s="412"/>
      <c r="G562" s="412"/>
      <c r="H562" s="412">
        <v>0</v>
      </c>
      <c r="I562" s="412">
        <v>0</v>
      </c>
      <c r="J562" s="412">
        <v>350000</v>
      </c>
      <c r="K562" s="386">
        <v>0</v>
      </c>
      <c r="L562" s="580"/>
      <c r="M562" s="403" t="e">
        <f t="shared" si="263"/>
        <v>#DIV/0!</v>
      </c>
      <c r="N562" s="403">
        <f t="shared" si="263"/>
        <v>0</v>
      </c>
    </row>
    <row r="563" spans="1:14" ht="15" thickTop="1" x14ac:dyDescent="0.2">
      <c r="A563" s="425"/>
      <c r="B563" s="491"/>
      <c r="C563" s="42"/>
      <c r="D563" s="420" t="s">
        <v>401</v>
      </c>
      <c r="E563" s="396"/>
      <c r="F563" s="395"/>
      <c r="G563" s="395"/>
      <c r="H563" s="395"/>
      <c r="I563" s="395"/>
      <c r="J563" s="395"/>
      <c r="K563" s="395"/>
      <c r="L563" s="575"/>
      <c r="M563" s="964" t="e">
        <f>AVERAGE(J565/I565*100)</f>
        <v>#DIV/0!</v>
      </c>
      <c r="N563" s="993">
        <v>0</v>
      </c>
    </row>
    <row r="564" spans="1:14" ht="14.25" x14ac:dyDescent="0.2">
      <c r="A564" s="425"/>
      <c r="B564" s="491"/>
      <c r="C564" s="42"/>
      <c r="D564" s="419" t="s">
        <v>518</v>
      </c>
      <c r="E564" s="386"/>
      <c r="F564" s="395"/>
      <c r="G564" s="395"/>
      <c r="H564" s="395"/>
      <c r="I564" s="395"/>
      <c r="J564" s="395"/>
      <c r="K564" s="395"/>
      <c r="L564" s="575"/>
      <c r="M564" s="965"/>
      <c r="N564" s="993"/>
    </row>
    <row r="565" spans="1:14" ht="31.5" x14ac:dyDescent="0.25">
      <c r="A565" s="457"/>
      <c r="B565" s="492"/>
      <c r="C565" s="116"/>
      <c r="D565" s="463" t="s">
        <v>689</v>
      </c>
      <c r="E565" s="458">
        <v>100000</v>
      </c>
      <c r="F565" s="456">
        <f t="shared" ref="F565:L566" si="266">SUM(F566)</f>
        <v>150000</v>
      </c>
      <c r="G565" s="456">
        <f t="shared" si="266"/>
        <v>19908.421262193908</v>
      </c>
      <c r="H565" s="456">
        <f t="shared" si="266"/>
        <v>60000</v>
      </c>
      <c r="I565" s="456">
        <f t="shared" si="266"/>
        <v>0</v>
      </c>
      <c r="J565" s="456">
        <f t="shared" si="266"/>
        <v>0</v>
      </c>
      <c r="K565" s="456">
        <f t="shared" si="266"/>
        <v>80000</v>
      </c>
      <c r="L565" s="576">
        <f t="shared" si="266"/>
        <v>376725</v>
      </c>
      <c r="M565" s="965"/>
      <c r="N565" s="967"/>
    </row>
    <row r="566" spans="1:14" ht="15" x14ac:dyDescent="0.25">
      <c r="A566" s="381" t="s">
        <v>672</v>
      </c>
      <c r="B566" s="487"/>
      <c r="C566" s="377">
        <v>42</v>
      </c>
      <c r="D566" s="388" t="s">
        <v>248</v>
      </c>
      <c r="E566" s="385">
        <v>100000</v>
      </c>
      <c r="F566" s="385">
        <f t="shared" si="266"/>
        <v>150000</v>
      </c>
      <c r="G566" s="385">
        <f t="shared" si="266"/>
        <v>19908.421262193908</v>
      </c>
      <c r="H566" s="385">
        <f>SUM(H567)</f>
        <v>60000</v>
      </c>
      <c r="I566" s="385">
        <f>SUM(I567)</f>
        <v>0</v>
      </c>
      <c r="J566" s="385">
        <f t="shared" si="266"/>
        <v>0</v>
      </c>
      <c r="K566" s="385">
        <f t="shared" si="266"/>
        <v>80000</v>
      </c>
      <c r="L566" s="579">
        <f t="shared" si="266"/>
        <v>376725</v>
      </c>
      <c r="M566" s="408" t="e">
        <f>AVERAGE(J566/I566*100)</f>
        <v>#DIV/0!</v>
      </c>
      <c r="N566" s="426">
        <v>0</v>
      </c>
    </row>
    <row r="567" spans="1:14" ht="14.25" x14ac:dyDescent="0.2">
      <c r="A567" s="378" t="s">
        <v>672</v>
      </c>
      <c r="B567" s="486"/>
      <c r="C567" s="390">
        <v>421</v>
      </c>
      <c r="D567" s="391" t="s">
        <v>97</v>
      </c>
      <c r="E567" s="386">
        <v>100000</v>
      </c>
      <c r="F567" s="386">
        <f t="shared" ref="F567:L567" si="267">SUM(F569:F569)</f>
        <v>150000</v>
      </c>
      <c r="G567" s="386">
        <f t="shared" si="267"/>
        <v>19908.421262193908</v>
      </c>
      <c r="H567" s="386">
        <f>SUM(H568+H569)</f>
        <v>60000</v>
      </c>
      <c r="I567" s="386">
        <f>SUM(I568+I569)</f>
        <v>0</v>
      </c>
      <c r="J567" s="386">
        <f t="shared" ref="J567:K567" si="268">SUM(J568+J569)</f>
        <v>0</v>
      </c>
      <c r="K567" s="386">
        <f t="shared" si="268"/>
        <v>80000</v>
      </c>
      <c r="L567" s="578">
        <f t="shared" si="267"/>
        <v>376725</v>
      </c>
      <c r="M567" s="408" t="e">
        <f>AVERAGE(J567/I567*100)</f>
        <v>#DIV/0!</v>
      </c>
      <c r="N567" s="426">
        <v>0</v>
      </c>
    </row>
    <row r="568" spans="1:14" ht="14.25" x14ac:dyDescent="0.2">
      <c r="A568" s="378" t="s">
        <v>672</v>
      </c>
      <c r="B568" s="486"/>
      <c r="C568" s="390">
        <v>4214</v>
      </c>
      <c r="D568" s="391" t="s">
        <v>249</v>
      </c>
      <c r="E568" s="386">
        <v>100000</v>
      </c>
      <c r="F568" s="386">
        <v>150000</v>
      </c>
      <c r="G568" s="386">
        <f>F568/7.5345</f>
        <v>19908.421262193908</v>
      </c>
      <c r="H568" s="386">
        <v>20000</v>
      </c>
      <c r="I568" s="386">
        <v>0</v>
      </c>
      <c r="J568" s="386">
        <v>0</v>
      </c>
      <c r="K568" s="386">
        <v>30000</v>
      </c>
      <c r="L568" s="578">
        <f>K568*7.5345</f>
        <v>226035</v>
      </c>
      <c r="M568" s="403" t="e">
        <f>AVERAGE(J568/I568*100)</f>
        <v>#DIV/0!</v>
      </c>
      <c r="N568" s="427">
        <v>0</v>
      </c>
    </row>
    <row r="569" spans="1:14" ht="15" thickBot="1" x14ac:dyDescent="0.25">
      <c r="A569" s="881" t="s">
        <v>672</v>
      </c>
      <c r="B569" s="494"/>
      <c r="C569" s="465">
        <v>4214</v>
      </c>
      <c r="D569" s="466" t="s">
        <v>249</v>
      </c>
      <c r="E569" s="467">
        <v>100000</v>
      </c>
      <c r="F569" s="467">
        <v>150000</v>
      </c>
      <c r="G569" s="396">
        <f>F569/7.5345</f>
        <v>19908.421262193908</v>
      </c>
      <c r="H569" s="396">
        <v>40000</v>
      </c>
      <c r="I569" s="396">
        <v>0</v>
      </c>
      <c r="J569" s="396">
        <v>0</v>
      </c>
      <c r="K569" s="396">
        <v>50000</v>
      </c>
      <c r="L569" s="876">
        <f>K569*7.5345</f>
        <v>376725</v>
      </c>
      <c r="M569" s="408" t="e">
        <f>AVERAGE(J569/I569*100)</f>
        <v>#DIV/0!</v>
      </c>
      <c r="N569" s="426">
        <v>0</v>
      </c>
    </row>
    <row r="570" spans="1:14" ht="15" thickTop="1" x14ac:dyDescent="0.2">
      <c r="A570" s="811"/>
      <c r="B570" s="812"/>
      <c r="C570" s="813"/>
      <c r="D570" s="814" t="s">
        <v>401</v>
      </c>
      <c r="E570" s="723"/>
      <c r="F570" s="815"/>
      <c r="G570" s="753"/>
      <c r="H570" s="722"/>
      <c r="I570" s="722"/>
      <c r="J570" s="722"/>
      <c r="K570" s="722"/>
      <c r="L570" s="816"/>
      <c r="M570" s="839"/>
      <c r="N570" s="839"/>
    </row>
    <row r="571" spans="1:14" ht="15" x14ac:dyDescent="0.2">
      <c r="A571" s="811"/>
      <c r="B571" s="812"/>
      <c r="C571" s="817"/>
      <c r="D571" s="818" t="s">
        <v>519</v>
      </c>
      <c r="E571" s="723"/>
      <c r="F571" s="815"/>
      <c r="G571" s="753"/>
      <c r="H571" s="722"/>
      <c r="I571" s="722"/>
      <c r="J571" s="722"/>
      <c r="K571" s="722"/>
      <c r="L571" s="816"/>
      <c r="M571" s="839"/>
      <c r="N571" s="839"/>
    </row>
    <row r="572" spans="1:14" ht="30" x14ac:dyDescent="0.25">
      <c r="A572" s="811"/>
      <c r="B572" s="812"/>
      <c r="C572" s="813"/>
      <c r="D572" s="819" t="s">
        <v>690</v>
      </c>
      <c r="E572" s="723"/>
      <c r="F572" s="815"/>
      <c r="G572" s="753"/>
      <c r="H572" s="722">
        <v>0</v>
      </c>
      <c r="I572" s="883">
        <v>0</v>
      </c>
      <c r="J572" s="883">
        <f>SUM(J573)</f>
        <v>500000</v>
      </c>
      <c r="K572" s="883">
        <f>SUM(K573)</f>
        <v>700000</v>
      </c>
      <c r="L572" s="816"/>
      <c r="M572" s="839" t="e">
        <f t="shared" ref="M572:M577" si="269">AVERAGE(J572/I572*100)</f>
        <v>#DIV/0!</v>
      </c>
      <c r="N572" s="839">
        <f t="shared" ref="N572:N577" si="270">AVERAGE(J572/K572*100)</f>
        <v>71.428571428571431</v>
      </c>
    </row>
    <row r="573" spans="1:14" ht="20.25" customHeight="1" x14ac:dyDescent="0.2">
      <c r="A573" s="820" t="s">
        <v>673</v>
      </c>
      <c r="B573" s="737"/>
      <c r="C573" s="759">
        <v>42</v>
      </c>
      <c r="D573" s="821" t="s">
        <v>248</v>
      </c>
      <c r="E573" s="800"/>
      <c r="F573" s="801"/>
      <c r="G573" s="727"/>
      <c r="H573" s="720">
        <v>0</v>
      </c>
      <c r="I573" s="720">
        <v>0</v>
      </c>
      <c r="J573" s="720">
        <f>SUM(J574+J576)</f>
        <v>500000</v>
      </c>
      <c r="K573" s="720">
        <f>SUM(K574+K576)</f>
        <v>700000</v>
      </c>
      <c r="L573" s="720"/>
      <c r="M573" s="720" t="e">
        <f t="shared" si="269"/>
        <v>#DIV/0!</v>
      </c>
      <c r="N573" s="720">
        <f t="shared" si="270"/>
        <v>71.428571428571431</v>
      </c>
    </row>
    <row r="574" spans="1:14" ht="14.25" x14ac:dyDescent="0.2">
      <c r="A574" s="820" t="s">
        <v>673</v>
      </c>
      <c r="B574" s="737"/>
      <c r="C574" s="783">
        <v>421</v>
      </c>
      <c r="D574" s="821" t="s">
        <v>97</v>
      </c>
      <c r="E574" s="800"/>
      <c r="F574" s="801"/>
      <c r="G574" s="727"/>
      <c r="H574" s="720">
        <v>0</v>
      </c>
      <c r="I574" s="720">
        <v>0</v>
      </c>
      <c r="J574" s="720">
        <f>SUM(J575)</f>
        <v>475000</v>
      </c>
      <c r="K574" s="720">
        <f>SUM(K575)</f>
        <v>645000</v>
      </c>
      <c r="L574" s="720"/>
      <c r="M574" s="720" t="e">
        <f t="shared" si="269"/>
        <v>#DIV/0!</v>
      </c>
      <c r="N574" s="720">
        <f t="shared" si="270"/>
        <v>73.643410852713174</v>
      </c>
    </row>
    <row r="575" spans="1:14" ht="14.25" x14ac:dyDescent="0.2">
      <c r="A575" s="820" t="s">
        <v>673</v>
      </c>
      <c r="B575" s="737"/>
      <c r="C575" s="783">
        <v>4214</v>
      </c>
      <c r="D575" s="821" t="s">
        <v>249</v>
      </c>
      <c r="E575" s="800"/>
      <c r="F575" s="801"/>
      <c r="G575" s="727"/>
      <c r="H575" s="720">
        <v>0</v>
      </c>
      <c r="I575" s="720">
        <v>0</v>
      </c>
      <c r="J575" s="720">
        <v>475000</v>
      </c>
      <c r="K575" s="720">
        <v>645000</v>
      </c>
      <c r="L575" s="720"/>
      <c r="M575" s="720" t="e">
        <f t="shared" si="269"/>
        <v>#DIV/0!</v>
      </c>
      <c r="N575" s="720">
        <f t="shared" si="270"/>
        <v>73.643410852713174</v>
      </c>
    </row>
    <row r="576" spans="1:14" ht="14.25" x14ac:dyDescent="0.2">
      <c r="A576" s="820" t="s">
        <v>673</v>
      </c>
      <c r="B576" s="737"/>
      <c r="C576" s="783">
        <v>421</v>
      </c>
      <c r="D576" s="821" t="s">
        <v>97</v>
      </c>
      <c r="E576" s="800"/>
      <c r="F576" s="801"/>
      <c r="G576" s="727"/>
      <c r="H576" s="720">
        <v>0</v>
      </c>
      <c r="I576" s="720">
        <v>0</v>
      </c>
      <c r="J576" s="720">
        <f>SUM(J577)</f>
        <v>25000</v>
      </c>
      <c r="K576" s="720">
        <f>SUM(K577)</f>
        <v>55000</v>
      </c>
      <c r="L576" s="720"/>
      <c r="M576" s="720" t="e">
        <f t="shared" si="269"/>
        <v>#DIV/0!</v>
      </c>
      <c r="N576" s="720">
        <f t="shared" si="270"/>
        <v>45.454545454545453</v>
      </c>
    </row>
    <row r="577" spans="1:14" ht="15" thickBot="1" x14ac:dyDescent="0.25">
      <c r="A577" s="822" t="s">
        <v>673</v>
      </c>
      <c r="B577" s="746"/>
      <c r="C577" s="805">
        <v>4214</v>
      </c>
      <c r="D577" s="806" t="s">
        <v>249</v>
      </c>
      <c r="E577" s="807"/>
      <c r="F577" s="808"/>
      <c r="G577" s="750"/>
      <c r="H577" s="749">
        <v>0</v>
      </c>
      <c r="I577" s="749">
        <v>0</v>
      </c>
      <c r="J577" s="749">
        <v>25000</v>
      </c>
      <c r="K577" s="749">
        <v>55000</v>
      </c>
      <c r="L577" s="749"/>
      <c r="M577" s="720" t="e">
        <f t="shared" si="269"/>
        <v>#DIV/0!</v>
      </c>
      <c r="N577" s="720">
        <f t="shared" si="270"/>
        <v>45.454545454545453</v>
      </c>
    </row>
    <row r="578" spans="1:14" ht="29.25" thickTop="1" x14ac:dyDescent="0.2">
      <c r="A578" s="425"/>
      <c r="B578" s="491"/>
      <c r="C578" s="42"/>
      <c r="D578" s="420" t="s">
        <v>400</v>
      </c>
      <c r="E578" s="396"/>
      <c r="F578" s="395"/>
      <c r="G578" s="395"/>
      <c r="H578" s="395"/>
      <c r="I578" s="395"/>
      <c r="J578" s="395"/>
      <c r="K578" s="395"/>
      <c r="L578" s="575"/>
      <c r="M578" s="964">
        <f>AVERAGE(J580/I580*100)</f>
        <v>575</v>
      </c>
      <c r="N578" s="962">
        <v>0</v>
      </c>
    </row>
    <row r="579" spans="1:14" ht="14.25" x14ac:dyDescent="0.2">
      <c r="A579" s="425"/>
      <c r="B579" s="491"/>
      <c r="C579" s="42"/>
      <c r="D579" s="420" t="s">
        <v>252</v>
      </c>
      <c r="E579" s="386"/>
      <c r="F579" s="395"/>
      <c r="G579" s="395"/>
      <c r="H579" s="395"/>
      <c r="I579" s="395"/>
      <c r="J579" s="395"/>
      <c r="K579" s="395"/>
      <c r="L579" s="575"/>
      <c r="M579" s="965"/>
      <c r="N579" s="963"/>
    </row>
    <row r="580" spans="1:14" ht="15.75" x14ac:dyDescent="0.25">
      <c r="A580" s="457"/>
      <c r="B580" s="492"/>
      <c r="C580" s="116"/>
      <c r="D580" s="463" t="s">
        <v>691</v>
      </c>
      <c r="E580" s="458">
        <v>760000</v>
      </c>
      <c r="F580" s="456">
        <f t="shared" ref="F580:L582" si="271">SUM(F581)</f>
        <v>500000</v>
      </c>
      <c r="G580" s="456">
        <f t="shared" si="271"/>
        <v>66361.404207313026</v>
      </c>
      <c r="H580" s="456">
        <f t="shared" si="271"/>
        <v>0</v>
      </c>
      <c r="I580" s="456">
        <f t="shared" si="271"/>
        <v>20000</v>
      </c>
      <c r="J580" s="456">
        <f t="shared" si="271"/>
        <v>115000</v>
      </c>
      <c r="K580" s="456">
        <f t="shared" si="271"/>
        <v>115000</v>
      </c>
      <c r="L580" s="576">
        <f t="shared" si="271"/>
        <v>753450</v>
      </c>
      <c r="M580" s="965"/>
      <c r="N580" s="963"/>
    </row>
    <row r="581" spans="1:14" ht="15" x14ac:dyDescent="0.25">
      <c r="A581" s="381" t="s">
        <v>674</v>
      </c>
      <c r="B581" s="487"/>
      <c r="C581" s="377">
        <v>42</v>
      </c>
      <c r="D581" s="388" t="s">
        <v>248</v>
      </c>
      <c r="E581" s="385">
        <v>760000</v>
      </c>
      <c r="F581" s="385">
        <f t="shared" si="271"/>
        <v>500000</v>
      </c>
      <c r="G581" s="385">
        <f t="shared" si="271"/>
        <v>66361.404207313026</v>
      </c>
      <c r="H581" s="385">
        <f t="shared" ref="H581:K581" si="272">SUM(H582+H585)</f>
        <v>0</v>
      </c>
      <c r="I581" s="385">
        <f t="shared" si="272"/>
        <v>20000</v>
      </c>
      <c r="J581" s="385">
        <f t="shared" si="272"/>
        <v>115000</v>
      </c>
      <c r="K581" s="385">
        <f t="shared" si="272"/>
        <v>115000</v>
      </c>
      <c r="L581" s="579">
        <f t="shared" si="271"/>
        <v>753450</v>
      </c>
      <c r="M581" s="408">
        <f>AVERAGE(J581/I581*100)</f>
        <v>575</v>
      </c>
      <c r="N581" s="426">
        <v>0</v>
      </c>
    </row>
    <row r="582" spans="1:14" ht="14.25" x14ac:dyDescent="0.2">
      <c r="A582" s="378" t="s">
        <v>674</v>
      </c>
      <c r="B582" s="486"/>
      <c r="C582" s="390">
        <v>421</v>
      </c>
      <c r="D582" s="391" t="s">
        <v>97</v>
      </c>
      <c r="E582" s="386">
        <v>760000</v>
      </c>
      <c r="F582" s="386">
        <f t="shared" si="271"/>
        <v>500000</v>
      </c>
      <c r="G582" s="386">
        <f t="shared" si="271"/>
        <v>66361.404207313026</v>
      </c>
      <c r="H582" s="386">
        <f t="shared" si="271"/>
        <v>0</v>
      </c>
      <c r="I582" s="386">
        <f t="shared" si="271"/>
        <v>0</v>
      </c>
      <c r="J582" s="386">
        <f t="shared" si="271"/>
        <v>100000</v>
      </c>
      <c r="K582" s="386">
        <f t="shared" si="271"/>
        <v>100000</v>
      </c>
      <c r="L582" s="578">
        <f t="shared" si="271"/>
        <v>753450</v>
      </c>
      <c r="M582" s="408" t="e">
        <f>AVERAGE(J582/I582*100)</f>
        <v>#DIV/0!</v>
      </c>
      <c r="N582" s="426">
        <v>0</v>
      </c>
    </row>
    <row r="583" spans="1:14" ht="14.25" x14ac:dyDescent="0.2">
      <c r="A583" s="378" t="s">
        <v>674</v>
      </c>
      <c r="B583" s="486"/>
      <c r="C583" s="390">
        <v>4214</v>
      </c>
      <c r="D583" s="391" t="s">
        <v>119</v>
      </c>
      <c r="E583" s="386">
        <v>760000</v>
      </c>
      <c r="F583" s="386">
        <v>500000</v>
      </c>
      <c r="G583" s="386">
        <f>F583/7.5345</f>
        <v>66361.404207313026</v>
      </c>
      <c r="H583" s="386">
        <v>0</v>
      </c>
      <c r="I583" s="386">
        <v>0</v>
      </c>
      <c r="J583" s="386">
        <v>100000</v>
      </c>
      <c r="K583" s="386">
        <v>100000</v>
      </c>
      <c r="L583" s="578">
        <f>K583*7.5345</f>
        <v>753450</v>
      </c>
      <c r="M583" s="403" t="e">
        <f>AVERAGE(J583/I583*100)</f>
        <v>#DIV/0!</v>
      </c>
      <c r="N583" s="427">
        <v>0</v>
      </c>
    </row>
    <row r="584" spans="1:14" ht="14.25" x14ac:dyDescent="0.2">
      <c r="A584" s="872" t="s">
        <v>674</v>
      </c>
      <c r="B584" s="873"/>
      <c r="C584" s="874">
        <v>323</v>
      </c>
      <c r="D584" s="875" t="s">
        <v>56</v>
      </c>
      <c r="E584" s="396">
        <f>SUM(E585:E602)</f>
        <v>6060000</v>
      </c>
      <c r="F584" s="396">
        <f>SUM(F585:F602)</f>
        <v>3500000</v>
      </c>
      <c r="G584" s="396">
        <f>SUM(G585:G602)</f>
        <v>464529.82945119118</v>
      </c>
      <c r="H584" s="396">
        <v>0</v>
      </c>
      <c r="I584" s="396">
        <f>(I585)</f>
        <v>20000</v>
      </c>
      <c r="J584" s="396">
        <f>(J585)</f>
        <v>15000</v>
      </c>
      <c r="K584" s="396">
        <f>(K585)</f>
        <v>15000</v>
      </c>
      <c r="L584" s="876">
        <f>SUM(L585:L601)</f>
        <v>27651238.274999999</v>
      </c>
      <c r="M584" s="408">
        <f>AVERAGE(J584/I584*100)</f>
        <v>75</v>
      </c>
      <c r="N584" s="426">
        <f>AVERAGE(K584/J584*100)</f>
        <v>100</v>
      </c>
    </row>
    <row r="585" spans="1:14" ht="19.5" customHeight="1" thickBot="1" x14ac:dyDescent="0.25">
      <c r="A585" s="756" t="s">
        <v>674</v>
      </c>
      <c r="B585" s="746"/>
      <c r="C585" s="410">
        <v>3237</v>
      </c>
      <c r="D585" s="411" t="s">
        <v>627</v>
      </c>
      <c r="E585" s="412">
        <v>140000</v>
      </c>
      <c r="F585" s="412">
        <v>200000</v>
      </c>
      <c r="G585" s="412">
        <f>F585/7.5345</f>
        <v>26544.56168292521</v>
      </c>
      <c r="H585" s="412">
        <v>0</v>
      </c>
      <c r="I585" s="412">
        <v>20000</v>
      </c>
      <c r="J585" s="412">
        <v>15000</v>
      </c>
      <c r="K585" s="412">
        <v>15000</v>
      </c>
      <c r="L585" s="580">
        <f>K585*7.5345</f>
        <v>113017.5</v>
      </c>
      <c r="M585" s="413">
        <f>AVERAGE(J585/I585*100)</f>
        <v>75</v>
      </c>
      <c r="N585" s="430">
        <f>AVERAGE(K585/J585*100)</f>
        <v>100</v>
      </c>
    </row>
    <row r="586" spans="1:14" ht="29.25" thickTop="1" x14ac:dyDescent="0.2">
      <c r="A586" s="425"/>
      <c r="B586" s="491"/>
      <c r="C586" s="42"/>
      <c r="D586" s="420" t="s">
        <v>400</v>
      </c>
      <c r="E586" s="396"/>
      <c r="F586" s="395"/>
      <c r="G586" s="395"/>
      <c r="H586" s="395"/>
      <c r="I586" s="395"/>
      <c r="J586" s="395"/>
      <c r="K586" s="395"/>
      <c r="L586" s="575"/>
      <c r="M586" s="964">
        <f>AVERAGE(J588/I588*100)</f>
        <v>2885.0746268656717</v>
      </c>
      <c r="N586" s="962">
        <v>0</v>
      </c>
    </row>
    <row r="587" spans="1:14" ht="14.25" x14ac:dyDescent="0.2">
      <c r="A587" s="425"/>
      <c r="B587" s="491"/>
      <c r="C587" s="42"/>
      <c r="D587" s="882" t="s">
        <v>252</v>
      </c>
      <c r="E587" s="386"/>
      <c r="F587" s="395"/>
      <c r="G587" s="395"/>
      <c r="H587" s="395"/>
      <c r="I587" s="395"/>
      <c r="J587" s="395"/>
      <c r="K587" s="395"/>
      <c r="L587" s="575"/>
      <c r="M587" s="965"/>
      <c r="N587" s="963"/>
    </row>
    <row r="588" spans="1:14" ht="31.5" x14ac:dyDescent="0.25">
      <c r="A588" s="457"/>
      <c r="B588" s="492"/>
      <c r="C588" s="116"/>
      <c r="D588" s="463" t="s">
        <v>692</v>
      </c>
      <c r="E588" s="458">
        <v>760000</v>
      </c>
      <c r="F588" s="456">
        <f t="shared" ref="F588:L590" si="273">SUM(F589)</f>
        <v>500000</v>
      </c>
      <c r="G588" s="456">
        <f t="shared" si="273"/>
        <v>66361.404207313026</v>
      </c>
      <c r="H588" s="456">
        <f t="shared" si="273"/>
        <v>0</v>
      </c>
      <c r="I588" s="456">
        <f t="shared" si="273"/>
        <v>33500</v>
      </c>
      <c r="J588" s="456">
        <f t="shared" si="273"/>
        <v>966500</v>
      </c>
      <c r="K588" s="456">
        <f t="shared" si="273"/>
        <v>966500</v>
      </c>
      <c r="L588" s="576">
        <f t="shared" si="273"/>
        <v>6781050</v>
      </c>
      <c r="M588" s="965"/>
      <c r="N588" s="963"/>
    </row>
    <row r="589" spans="1:14" ht="15" x14ac:dyDescent="0.25">
      <c r="A589" s="381" t="s">
        <v>675</v>
      </c>
      <c r="B589" s="487"/>
      <c r="C589" s="377">
        <v>42</v>
      </c>
      <c r="D589" s="388" t="s">
        <v>248</v>
      </c>
      <c r="E589" s="385">
        <v>760000</v>
      </c>
      <c r="F589" s="385">
        <f t="shared" si="273"/>
        <v>500000</v>
      </c>
      <c r="G589" s="385">
        <f t="shared" si="273"/>
        <v>66361.404207313026</v>
      </c>
      <c r="H589" s="385">
        <f>SUM(H590+H594)</f>
        <v>0</v>
      </c>
      <c r="I589" s="385">
        <f t="shared" ref="I589:J589" si="274">SUM(I590+I593)</f>
        <v>33500</v>
      </c>
      <c r="J589" s="385">
        <f t="shared" si="274"/>
        <v>966500</v>
      </c>
      <c r="K589" s="385">
        <f>SUM(K590+K593)</f>
        <v>966500</v>
      </c>
      <c r="L589" s="579">
        <f t="shared" si="273"/>
        <v>6781050</v>
      </c>
      <c r="M589" s="408">
        <f t="shared" ref="M589:M595" si="275">AVERAGE(J589/I589*100)</f>
        <v>2885.0746268656717</v>
      </c>
      <c r="N589" s="426">
        <v>0</v>
      </c>
    </row>
    <row r="590" spans="1:14" ht="14.25" x14ac:dyDescent="0.2">
      <c r="A590" s="378" t="s">
        <v>675</v>
      </c>
      <c r="B590" s="486"/>
      <c r="C590" s="390">
        <v>421</v>
      </c>
      <c r="D590" s="391" t="s">
        <v>97</v>
      </c>
      <c r="E590" s="386">
        <v>760000</v>
      </c>
      <c r="F590" s="386">
        <f t="shared" si="273"/>
        <v>500000</v>
      </c>
      <c r="G590" s="386">
        <f t="shared" si="273"/>
        <v>66361.404207313026</v>
      </c>
      <c r="H590" s="386">
        <f t="shared" si="273"/>
        <v>0</v>
      </c>
      <c r="I590" s="386">
        <f t="shared" ref="I590:J590" si="276">SUM(I591+I592)</f>
        <v>0</v>
      </c>
      <c r="J590" s="386">
        <f t="shared" si="276"/>
        <v>950000</v>
      </c>
      <c r="K590" s="386">
        <f>SUM(K591+K592)</f>
        <v>950000</v>
      </c>
      <c r="L590" s="578">
        <f t="shared" si="273"/>
        <v>6781050</v>
      </c>
      <c r="M590" s="408" t="e">
        <f t="shared" si="275"/>
        <v>#DIV/0!</v>
      </c>
      <c r="N590" s="426">
        <v>0</v>
      </c>
    </row>
    <row r="591" spans="1:14" ht="14.25" x14ac:dyDescent="0.2">
      <c r="A591" s="378" t="s">
        <v>675</v>
      </c>
      <c r="B591" s="486"/>
      <c r="C591" s="390">
        <v>4214</v>
      </c>
      <c r="D591" s="391" t="s">
        <v>119</v>
      </c>
      <c r="E591" s="386">
        <v>760000</v>
      </c>
      <c r="F591" s="386">
        <v>500000</v>
      </c>
      <c r="G591" s="386">
        <f>F591/7.5345</f>
        <v>66361.404207313026</v>
      </c>
      <c r="H591" s="386">
        <v>0</v>
      </c>
      <c r="I591" s="386">
        <v>0</v>
      </c>
      <c r="J591" s="386">
        <v>900000</v>
      </c>
      <c r="K591" s="386">
        <v>900000</v>
      </c>
      <c r="L591" s="578">
        <f>K591*7.5345</f>
        <v>6781050</v>
      </c>
      <c r="M591" s="408" t="e">
        <f t="shared" si="275"/>
        <v>#DIV/0!</v>
      </c>
      <c r="N591" s="427">
        <v>0</v>
      </c>
    </row>
    <row r="592" spans="1:14" ht="14.25" x14ac:dyDescent="0.2">
      <c r="A592" s="378" t="s">
        <v>675</v>
      </c>
      <c r="B592" s="486"/>
      <c r="C592" s="390">
        <v>4214</v>
      </c>
      <c r="D592" s="391" t="s">
        <v>119</v>
      </c>
      <c r="E592" s="386">
        <v>760000</v>
      </c>
      <c r="F592" s="386">
        <v>500000</v>
      </c>
      <c r="G592" s="386">
        <f>F592/7.5345</f>
        <v>66361.404207313026</v>
      </c>
      <c r="H592" s="386">
        <v>0</v>
      </c>
      <c r="I592" s="386">
        <v>0</v>
      </c>
      <c r="J592" s="386">
        <v>50000</v>
      </c>
      <c r="K592" s="386">
        <v>50000</v>
      </c>
      <c r="L592" s="578">
        <f>K592*7.5345</f>
        <v>376725</v>
      </c>
      <c r="M592" s="408" t="e">
        <f t="shared" si="275"/>
        <v>#DIV/0!</v>
      </c>
      <c r="N592" s="427">
        <v>0</v>
      </c>
    </row>
    <row r="593" spans="1:14" ht="14.25" x14ac:dyDescent="0.2">
      <c r="A593" s="872" t="s">
        <v>675</v>
      </c>
      <c r="B593" s="873"/>
      <c r="C593" s="874">
        <v>323</v>
      </c>
      <c r="D593" s="875" t="s">
        <v>56</v>
      </c>
      <c r="E593" s="396">
        <f>SUM(E594:E610)</f>
        <v>1360000</v>
      </c>
      <c r="F593" s="396">
        <f>SUM(F594:F610)</f>
        <v>400000</v>
      </c>
      <c r="G593" s="396">
        <f>SUM(G594:G610)</f>
        <v>53089.123365850421</v>
      </c>
      <c r="H593" s="396">
        <v>0</v>
      </c>
      <c r="I593" s="396">
        <f>(I594+I595)</f>
        <v>33500</v>
      </c>
      <c r="J593" s="396">
        <f t="shared" ref="J593:K593" si="277">(J594+J595)</f>
        <v>16500</v>
      </c>
      <c r="K593" s="396">
        <f t="shared" si="277"/>
        <v>16500</v>
      </c>
      <c r="L593" s="876">
        <f>SUM(L594:L609)</f>
        <v>18647.887500000001</v>
      </c>
      <c r="M593" s="408">
        <f t="shared" si="275"/>
        <v>49.253731343283583</v>
      </c>
      <c r="N593" s="426">
        <f>AVERAGE(K593/J593*100)</f>
        <v>100</v>
      </c>
    </row>
    <row r="594" spans="1:14" ht="15" thickBot="1" x14ac:dyDescent="0.25">
      <c r="A594" s="756" t="s">
        <v>675</v>
      </c>
      <c r="B594" s="746"/>
      <c r="C594" s="410">
        <v>3237</v>
      </c>
      <c r="D594" s="411" t="s">
        <v>553</v>
      </c>
      <c r="E594" s="412">
        <v>140000</v>
      </c>
      <c r="F594" s="412">
        <v>200000</v>
      </c>
      <c r="G594" s="412">
        <f>F594/7.5345</f>
        <v>26544.56168292521</v>
      </c>
      <c r="H594" s="412">
        <v>0</v>
      </c>
      <c r="I594" s="412">
        <v>0</v>
      </c>
      <c r="J594" s="412">
        <v>2475</v>
      </c>
      <c r="K594" s="412">
        <v>2475</v>
      </c>
      <c r="L594" s="580">
        <f>K594*7.5345</f>
        <v>18647.887500000001</v>
      </c>
      <c r="M594" s="413" t="e">
        <f t="shared" si="275"/>
        <v>#DIV/0!</v>
      </c>
      <c r="N594" s="430">
        <f>AVERAGE(K594/J594*100)</f>
        <v>100</v>
      </c>
    </row>
    <row r="595" spans="1:14" ht="19.5" thickTop="1" thickBot="1" x14ac:dyDescent="0.3">
      <c r="A595" s="756" t="s">
        <v>675</v>
      </c>
      <c r="B595" s="746"/>
      <c r="C595" s="410">
        <v>3237</v>
      </c>
      <c r="D595" s="411" t="s">
        <v>553</v>
      </c>
      <c r="E595" s="412">
        <v>140000</v>
      </c>
      <c r="F595" s="412">
        <v>200000</v>
      </c>
      <c r="G595" s="412">
        <f>F595/7.5345</f>
        <v>26544.56168292521</v>
      </c>
      <c r="H595" s="412">
        <v>0</v>
      </c>
      <c r="I595" s="412">
        <v>33500</v>
      </c>
      <c r="J595" s="412">
        <v>14025</v>
      </c>
      <c r="K595" s="412">
        <v>14025</v>
      </c>
      <c r="L595" s="573">
        <f>SUM(L598)</f>
        <v>0</v>
      </c>
      <c r="M595" s="413">
        <f t="shared" si="275"/>
        <v>41.865671641791046</v>
      </c>
      <c r="N595" s="430">
        <f>AVERAGE(K595/J595*100)</f>
        <v>100</v>
      </c>
    </row>
    <row r="596" spans="1:14" ht="19.5" thickTop="1" thickBot="1" x14ac:dyDescent="0.3">
      <c r="A596" s="999" t="s">
        <v>550</v>
      </c>
      <c r="B596" s="1000"/>
      <c r="C596" s="1000"/>
      <c r="D596" s="1001"/>
      <c r="E596" s="445">
        <v>120000</v>
      </c>
      <c r="F596" s="445">
        <f>SUM(F599)</f>
        <v>0</v>
      </c>
      <c r="G596" s="445">
        <f>SUM(G599)</f>
        <v>0</v>
      </c>
      <c r="H596" s="445">
        <f>SUM(H599+H606+H614)</f>
        <v>48000</v>
      </c>
      <c r="I596" s="445">
        <f>SUM(I599+I606+I614)</f>
        <v>60900</v>
      </c>
      <c r="J596" s="445">
        <f t="shared" ref="J596:K596" si="278">SUM(J599+J606+J614)</f>
        <v>0</v>
      </c>
      <c r="K596" s="445">
        <f t="shared" si="278"/>
        <v>0</v>
      </c>
      <c r="L596" s="753"/>
      <c r="M596" s="447">
        <v>0</v>
      </c>
      <c r="N596" s="448">
        <v>0</v>
      </c>
    </row>
    <row r="597" spans="1:14" ht="15" x14ac:dyDescent="0.25">
      <c r="A597" s="763"/>
      <c r="B597" s="765"/>
      <c r="C597" s="765"/>
      <c r="D597" s="857" t="s">
        <v>694</v>
      </c>
      <c r="E597" s="766"/>
      <c r="F597" s="722"/>
      <c r="G597" s="722"/>
      <c r="H597" s="722"/>
      <c r="I597" s="722"/>
      <c r="J597" s="722"/>
      <c r="K597" s="722"/>
      <c r="L597" s="753"/>
      <c r="M597" s="968">
        <v>0</v>
      </c>
      <c r="N597" s="1003">
        <v>0</v>
      </c>
    </row>
    <row r="598" spans="1:14" ht="15.75" x14ac:dyDescent="0.25">
      <c r="A598" s="763"/>
      <c r="B598" s="765"/>
      <c r="C598" s="765"/>
      <c r="D598" s="752" t="s">
        <v>505</v>
      </c>
      <c r="E598" s="720"/>
      <c r="F598" s="722"/>
      <c r="G598" s="722"/>
      <c r="H598" s="722"/>
      <c r="I598" s="722"/>
      <c r="J598" s="722"/>
      <c r="K598" s="722"/>
      <c r="L598" s="771">
        <f t="shared" ref="F598:L600" si="279">SUM(L599)</f>
        <v>0</v>
      </c>
      <c r="M598" s="1002"/>
      <c r="N598" s="971"/>
    </row>
    <row r="599" spans="1:14" ht="15.75" x14ac:dyDescent="0.25">
      <c r="A599" s="763"/>
      <c r="B599" s="765"/>
      <c r="C599" s="765"/>
      <c r="D599" s="840" t="s">
        <v>221</v>
      </c>
      <c r="E599" s="720">
        <v>120000</v>
      </c>
      <c r="F599" s="706">
        <f t="shared" si="279"/>
        <v>0</v>
      </c>
      <c r="G599" s="706">
        <f t="shared" si="279"/>
        <v>0</v>
      </c>
      <c r="H599" s="706">
        <f t="shared" si="279"/>
        <v>30000</v>
      </c>
      <c r="I599" s="706">
        <f t="shared" si="279"/>
        <v>26500</v>
      </c>
      <c r="J599" s="706">
        <f t="shared" si="279"/>
        <v>0</v>
      </c>
      <c r="K599" s="706">
        <f t="shared" si="279"/>
        <v>0</v>
      </c>
      <c r="L599" s="736">
        <f t="shared" si="279"/>
        <v>0</v>
      </c>
      <c r="M599" s="1002"/>
      <c r="N599" s="971"/>
    </row>
    <row r="600" spans="1:14" ht="15" x14ac:dyDescent="0.25">
      <c r="A600" s="791" t="s">
        <v>572</v>
      </c>
      <c r="B600" s="731"/>
      <c r="C600" s="733">
        <v>42</v>
      </c>
      <c r="D600" s="734" t="s">
        <v>248</v>
      </c>
      <c r="E600" s="735">
        <v>120000</v>
      </c>
      <c r="F600" s="735">
        <f t="shared" si="279"/>
        <v>0</v>
      </c>
      <c r="G600" s="735">
        <f t="shared" si="279"/>
        <v>0</v>
      </c>
      <c r="H600" s="735">
        <f t="shared" si="279"/>
        <v>30000</v>
      </c>
      <c r="I600" s="735">
        <f t="shared" si="279"/>
        <v>26500</v>
      </c>
      <c r="J600" s="735">
        <f t="shared" si="279"/>
        <v>0</v>
      </c>
      <c r="K600" s="735">
        <f t="shared" si="279"/>
        <v>0</v>
      </c>
      <c r="L600" s="727">
        <f t="shared" ref="F600:L601" si="280">SUM(L601:L602)</f>
        <v>0</v>
      </c>
      <c r="M600" s="728">
        <v>0</v>
      </c>
      <c r="N600" s="775">
        <v>0</v>
      </c>
    </row>
    <row r="601" spans="1:14" ht="14.25" x14ac:dyDescent="0.2">
      <c r="A601" s="792" t="s">
        <v>572</v>
      </c>
      <c r="B601" s="729"/>
      <c r="C601" s="738">
        <v>426</v>
      </c>
      <c r="D601" s="726" t="s">
        <v>117</v>
      </c>
      <c r="E601" s="720">
        <v>120000</v>
      </c>
      <c r="F601" s="720">
        <f t="shared" si="280"/>
        <v>0</v>
      </c>
      <c r="G601" s="720">
        <f t="shared" si="280"/>
        <v>0</v>
      </c>
      <c r="H601" s="720">
        <f>SUM(H602:H603)</f>
        <v>30000</v>
      </c>
      <c r="I601" s="720">
        <f t="shared" si="280"/>
        <v>26500</v>
      </c>
      <c r="J601" s="720">
        <f t="shared" si="280"/>
        <v>0</v>
      </c>
      <c r="K601" s="720">
        <f t="shared" si="280"/>
        <v>0</v>
      </c>
      <c r="L601" s="727">
        <v>0</v>
      </c>
      <c r="M601" s="728">
        <v>0</v>
      </c>
      <c r="N601" s="775">
        <v>0</v>
      </c>
    </row>
    <row r="602" spans="1:14" ht="14.25" x14ac:dyDescent="0.2">
      <c r="A602" s="792" t="s">
        <v>572</v>
      </c>
      <c r="B602" s="729"/>
      <c r="C602" s="738">
        <v>4263</v>
      </c>
      <c r="D602" s="726" t="s">
        <v>258</v>
      </c>
      <c r="E602" s="720"/>
      <c r="F602" s="720">
        <v>0</v>
      </c>
      <c r="G602" s="720">
        <v>0</v>
      </c>
      <c r="H602" s="720">
        <v>25500</v>
      </c>
      <c r="I602" s="720">
        <v>21200</v>
      </c>
      <c r="J602" s="720">
        <v>0</v>
      </c>
      <c r="K602" s="720">
        <v>0</v>
      </c>
      <c r="L602" s="727">
        <v>0</v>
      </c>
      <c r="M602" s="728">
        <v>0</v>
      </c>
      <c r="N602" s="775">
        <v>0</v>
      </c>
    </row>
    <row r="603" spans="1:14" ht="14.25" x14ac:dyDescent="0.2">
      <c r="A603" s="792" t="s">
        <v>572</v>
      </c>
      <c r="B603" s="729"/>
      <c r="C603" s="738">
        <v>4263</v>
      </c>
      <c r="D603" s="726" t="s">
        <v>258</v>
      </c>
      <c r="E603" s="720">
        <v>120000</v>
      </c>
      <c r="F603" s="720">
        <v>0</v>
      </c>
      <c r="G603" s="720">
        <v>0</v>
      </c>
      <c r="H603" s="720">
        <v>4500</v>
      </c>
      <c r="I603" s="720">
        <v>5300</v>
      </c>
      <c r="J603" s="720">
        <v>0</v>
      </c>
      <c r="K603" s="720">
        <v>0</v>
      </c>
      <c r="L603" s="753"/>
      <c r="M603" s="728">
        <v>0</v>
      </c>
      <c r="N603" s="775">
        <v>0</v>
      </c>
    </row>
    <row r="604" spans="1:14" ht="30" x14ac:dyDescent="0.25">
      <c r="A604" s="763"/>
      <c r="B604" s="765"/>
      <c r="C604" s="765"/>
      <c r="D604" s="857" t="s">
        <v>695</v>
      </c>
      <c r="E604" s="766"/>
      <c r="F604" s="722"/>
      <c r="G604" s="722"/>
      <c r="H604" s="722"/>
      <c r="I604" s="722"/>
      <c r="J604" s="722"/>
      <c r="K604" s="722"/>
      <c r="L604" s="753"/>
      <c r="M604" s="968">
        <v>0</v>
      </c>
      <c r="N604" s="1003">
        <v>0</v>
      </c>
    </row>
    <row r="605" spans="1:14" ht="15.75" x14ac:dyDescent="0.25">
      <c r="A605" s="763"/>
      <c r="B605" s="765"/>
      <c r="C605" s="765"/>
      <c r="D605" s="752" t="s">
        <v>509</v>
      </c>
      <c r="E605" s="720"/>
      <c r="F605" s="722"/>
      <c r="G605" s="722"/>
      <c r="H605" s="722"/>
      <c r="I605" s="722"/>
      <c r="J605" s="722"/>
      <c r="K605" s="722"/>
      <c r="L605" s="771">
        <f t="shared" ref="F605:L607" si="281">SUM(L606)</f>
        <v>0</v>
      </c>
      <c r="M605" s="1002"/>
      <c r="N605" s="971"/>
    </row>
    <row r="606" spans="1:14" ht="15.75" x14ac:dyDescent="0.25">
      <c r="A606" s="763"/>
      <c r="B606" s="765"/>
      <c r="C606" s="765"/>
      <c r="D606" s="840" t="s">
        <v>221</v>
      </c>
      <c r="E606" s="720">
        <v>120000</v>
      </c>
      <c r="F606" s="706">
        <f t="shared" si="281"/>
        <v>0</v>
      </c>
      <c r="G606" s="706">
        <f t="shared" si="281"/>
        <v>0</v>
      </c>
      <c r="H606" s="706">
        <f t="shared" si="281"/>
        <v>18000</v>
      </c>
      <c r="I606" s="706">
        <f t="shared" si="281"/>
        <v>14400</v>
      </c>
      <c r="J606" s="706">
        <f t="shared" si="281"/>
        <v>0</v>
      </c>
      <c r="K606" s="706">
        <f t="shared" si="281"/>
        <v>0</v>
      </c>
      <c r="L606" s="736">
        <f t="shared" si="281"/>
        <v>0</v>
      </c>
      <c r="M606" s="1002"/>
      <c r="N606" s="971"/>
    </row>
    <row r="607" spans="1:14" ht="15" x14ac:dyDescent="0.25">
      <c r="A607" s="791" t="s">
        <v>573</v>
      </c>
      <c r="B607" s="731"/>
      <c r="C607" s="733">
        <v>42</v>
      </c>
      <c r="D607" s="734" t="s">
        <v>248</v>
      </c>
      <c r="E607" s="735">
        <v>120000</v>
      </c>
      <c r="F607" s="735">
        <f t="shared" si="281"/>
        <v>0</v>
      </c>
      <c r="G607" s="735">
        <f t="shared" si="281"/>
        <v>0</v>
      </c>
      <c r="H607" s="735">
        <f t="shared" si="281"/>
        <v>18000</v>
      </c>
      <c r="I607" s="735">
        <f t="shared" si="281"/>
        <v>14400</v>
      </c>
      <c r="J607" s="735">
        <f t="shared" si="281"/>
        <v>0</v>
      </c>
      <c r="K607" s="735">
        <f t="shared" si="281"/>
        <v>0</v>
      </c>
      <c r="L607" s="727">
        <f t="shared" ref="F607:L608" si="282">SUM(L608:L609)</f>
        <v>0</v>
      </c>
      <c r="M607" s="728">
        <v>0</v>
      </c>
      <c r="N607" s="775">
        <v>0</v>
      </c>
    </row>
    <row r="608" spans="1:14" ht="14.25" x14ac:dyDescent="0.2">
      <c r="A608" s="792" t="s">
        <v>573</v>
      </c>
      <c r="B608" s="729"/>
      <c r="C608" s="738">
        <v>426</v>
      </c>
      <c r="D608" s="726" t="s">
        <v>117</v>
      </c>
      <c r="E608" s="720">
        <v>120000</v>
      </c>
      <c r="F608" s="720">
        <f t="shared" si="282"/>
        <v>0</v>
      </c>
      <c r="G608" s="720">
        <f t="shared" si="282"/>
        <v>0</v>
      </c>
      <c r="H608" s="720">
        <f>SUM(H609:H610)</f>
        <v>18000</v>
      </c>
      <c r="I608" s="720">
        <f t="shared" si="282"/>
        <v>14400</v>
      </c>
      <c r="J608" s="720">
        <f t="shared" si="282"/>
        <v>0</v>
      </c>
      <c r="K608" s="720">
        <f t="shared" si="282"/>
        <v>0</v>
      </c>
      <c r="L608" s="727">
        <v>0</v>
      </c>
      <c r="M608" s="728">
        <v>0</v>
      </c>
      <c r="N608" s="775">
        <v>0</v>
      </c>
    </row>
    <row r="609" spans="1:14" ht="14.25" x14ac:dyDescent="0.2">
      <c r="A609" s="792" t="s">
        <v>573</v>
      </c>
      <c r="B609" s="729"/>
      <c r="C609" s="738">
        <v>4263</v>
      </c>
      <c r="D609" s="726" t="s">
        <v>258</v>
      </c>
      <c r="E609" s="720"/>
      <c r="F609" s="720">
        <v>0</v>
      </c>
      <c r="G609" s="720">
        <v>0</v>
      </c>
      <c r="H609" s="720">
        <v>15300</v>
      </c>
      <c r="I609" s="720">
        <v>12240</v>
      </c>
      <c r="J609" s="720">
        <v>0</v>
      </c>
      <c r="K609" s="720">
        <v>0</v>
      </c>
      <c r="L609" s="727">
        <v>0</v>
      </c>
      <c r="M609" s="728">
        <v>0</v>
      </c>
      <c r="N609" s="775">
        <v>0</v>
      </c>
    </row>
    <row r="610" spans="1:14" ht="14.25" x14ac:dyDescent="0.2">
      <c r="A610" s="837" t="s">
        <v>573</v>
      </c>
      <c r="B610" s="739"/>
      <c r="C610" s="741">
        <v>4263</v>
      </c>
      <c r="D610" s="726" t="s">
        <v>258</v>
      </c>
      <c r="E610" s="743">
        <v>120000</v>
      </c>
      <c r="F610" s="743">
        <v>0</v>
      </c>
      <c r="G610" s="743">
        <v>0</v>
      </c>
      <c r="H610" s="720">
        <v>2700</v>
      </c>
      <c r="I610" s="720">
        <v>2160</v>
      </c>
      <c r="J610" s="720">
        <v>0</v>
      </c>
      <c r="K610" s="720">
        <v>0</v>
      </c>
      <c r="L610" s="753"/>
      <c r="M610" s="728">
        <v>0</v>
      </c>
      <c r="N610" s="728">
        <v>0</v>
      </c>
    </row>
    <row r="611" spans="1:14" ht="30" x14ac:dyDescent="0.25">
      <c r="A611" s="861"/>
      <c r="B611" s="861"/>
      <c r="C611" s="858"/>
      <c r="D611" s="857" t="s">
        <v>696</v>
      </c>
      <c r="E611" s="766"/>
      <c r="F611" s="722"/>
      <c r="G611" s="722"/>
      <c r="H611" s="722"/>
      <c r="I611" s="722"/>
      <c r="J611" s="722"/>
      <c r="K611" s="722"/>
      <c r="L611" s="753"/>
      <c r="M611" s="968">
        <v>0</v>
      </c>
      <c r="N611" s="1003">
        <v>0</v>
      </c>
    </row>
    <row r="612" spans="1:14" ht="15.75" x14ac:dyDescent="0.25">
      <c r="A612" s="862"/>
      <c r="B612" s="862"/>
      <c r="C612" s="859"/>
      <c r="D612" s="752" t="s">
        <v>501</v>
      </c>
      <c r="E612" s="720"/>
      <c r="F612" s="722"/>
      <c r="G612" s="722"/>
      <c r="H612" s="722"/>
      <c r="I612" s="722"/>
      <c r="J612" s="722"/>
      <c r="K612" s="722"/>
      <c r="L612" s="771">
        <f t="shared" ref="F612:L614" si="283">SUM(L613)</f>
        <v>0</v>
      </c>
      <c r="M612" s="1002"/>
      <c r="N612" s="971"/>
    </row>
    <row r="613" spans="1:14" ht="15.75" x14ac:dyDescent="0.25">
      <c r="A613" s="863"/>
      <c r="B613" s="863"/>
      <c r="C613" s="860"/>
      <c r="D613" s="840" t="s">
        <v>221</v>
      </c>
      <c r="E613" s="720">
        <v>120000</v>
      </c>
      <c r="F613" s="706">
        <f t="shared" si="283"/>
        <v>0</v>
      </c>
      <c r="G613" s="706">
        <f t="shared" si="283"/>
        <v>0</v>
      </c>
      <c r="H613" s="706">
        <f t="shared" si="283"/>
        <v>0</v>
      </c>
      <c r="I613" s="706">
        <f t="shared" si="283"/>
        <v>20000</v>
      </c>
      <c r="J613" s="706">
        <f t="shared" si="283"/>
        <v>0</v>
      </c>
      <c r="K613" s="706">
        <f t="shared" si="283"/>
        <v>0</v>
      </c>
      <c r="L613" s="736">
        <f t="shared" si="283"/>
        <v>0</v>
      </c>
      <c r="M613" s="1002"/>
      <c r="N613" s="971"/>
    </row>
    <row r="614" spans="1:14" ht="15" x14ac:dyDescent="0.25">
      <c r="A614" s="791" t="s">
        <v>693</v>
      </c>
      <c r="B614" s="731"/>
      <c r="C614" s="733">
        <v>42</v>
      </c>
      <c r="D614" s="734" t="s">
        <v>248</v>
      </c>
      <c r="E614" s="735">
        <v>120000</v>
      </c>
      <c r="F614" s="735">
        <f t="shared" si="283"/>
        <v>0</v>
      </c>
      <c r="G614" s="735">
        <f t="shared" si="283"/>
        <v>0</v>
      </c>
      <c r="H614" s="735">
        <f t="shared" si="283"/>
        <v>0</v>
      </c>
      <c r="I614" s="735">
        <f t="shared" si="283"/>
        <v>20000</v>
      </c>
      <c r="J614" s="735">
        <f t="shared" si="283"/>
        <v>0</v>
      </c>
      <c r="K614" s="735">
        <f t="shared" si="283"/>
        <v>0</v>
      </c>
      <c r="L614" s="727">
        <f t="shared" ref="F614:L615" si="284">SUM(L615:L616)</f>
        <v>0</v>
      </c>
      <c r="M614" s="728">
        <v>0</v>
      </c>
      <c r="N614" s="775">
        <v>0</v>
      </c>
    </row>
    <row r="615" spans="1:14" ht="14.25" x14ac:dyDescent="0.2">
      <c r="A615" s="792" t="s">
        <v>693</v>
      </c>
      <c r="B615" s="729"/>
      <c r="C615" s="738">
        <v>426</v>
      </c>
      <c r="D615" s="726" t="s">
        <v>117</v>
      </c>
      <c r="E615" s="720">
        <v>120000</v>
      </c>
      <c r="F615" s="720">
        <f t="shared" si="284"/>
        <v>0</v>
      </c>
      <c r="G615" s="720">
        <f t="shared" si="284"/>
        <v>0</v>
      </c>
      <c r="H615" s="720">
        <f t="shared" si="284"/>
        <v>0</v>
      </c>
      <c r="I615" s="720">
        <f t="shared" si="284"/>
        <v>20000</v>
      </c>
      <c r="J615" s="720">
        <f t="shared" si="284"/>
        <v>0</v>
      </c>
      <c r="K615" s="720">
        <f t="shared" si="284"/>
        <v>0</v>
      </c>
      <c r="L615" s="727">
        <v>0</v>
      </c>
      <c r="M615" s="728">
        <v>0</v>
      </c>
      <c r="N615" s="775">
        <v>0</v>
      </c>
    </row>
    <row r="616" spans="1:14" ht="15" thickBot="1" x14ac:dyDescent="0.25">
      <c r="A616" s="792" t="s">
        <v>693</v>
      </c>
      <c r="B616" s="729"/>
      <c r="C616" s="738">
        <v>4263</v>
      </c>
      <c r="D616" s="726" t="s">
        <v>258</v>
      </c>
      <c r="E616" s="720"/>
      <c r="F616" s="720">
        <v>0</v>
      </c>
      <c r="G616" s="720">
        <v>0</v>
      </c>
      <c r="H616" s="720">
        <v>0</v>
      </c>
      <c r="I616" s="720">
        <v>10000</v>
      </c>
      <c r="J616" s="720">
        <v>0</v>
      </c>
      <c r="K616" s="720">
        <v>0</v>
      </c>
      <c r="L616" s="744">
        <v>0</v>
      </c>
      <c r="M616" s="728">
        <v>0</v>
      </c>
      <c r="N616" s="775">
        <v>0</v>
      </c>
    </row>
    <row r="617" spans="1:14" ht="19.5" thickTop="1" thickBot="1" x14ac:dyDescent="0.25">
      <c r="A617" s="837" t="s">
        <v>693</v>
      </c>
      <c r="B617" s="739"/>
      <c r="C617" s="741">
        <v>4263</v>
      </c>
      <c r="D617" s="742" t="s">
        <v>258</v>
      </c>
      <c r="E617" s="743">
        <v>120000</v>
      </c>
      <c r="F617" s="743">
        <v>0</v>
      </c>
      <c r="G617" s="743">
        <v>0</v>
      </c>
      <c r="H617" s="743">
        <v>0</v>
      </c>
      <c r="I617" s="743">
        <v>10000</v>
      </c>
      <c r="J617" s="743">
        <v>0</v>
      </c>
      <c r="K617" s="743">
        <v>0</v>
      </c>
      <c r="L617" s="846" t="e">
        <f>SUM(L620+#REF!+L640)</f>
        <v>#REF!</v>
      </c>
      <c r="M617" s="745">
        <v>0</v>
      </c>
      <c r="N617" s="784">
        <v>0</v>
      </c>
    </row>
    <row r="618" spans="1:14" ht="19.5" thickTop="1" thickBot="1" x14ac:dyDescent="0.3">
      <c r="A618" s="997" t="s">
        <v>697</v>
      </c>
      <c r="B618" s="998"/>
      <c r="C618" s="998"/>
      <c r="D618" s="998"/>
      <c r="E618" s="844" t="e">
        <f>SUM(E621+#REF!+E699+E709+E715+E721)</f>
        <v>#REF!</v>
      </c>
      <c r="F618" s="845" t="e">
        <f>SUM(F621+#REF!+F641)</f>
        <v>#REF!</v>
      </c>
      <c r="G618" s="845" t="e">
        <f>SUM(G621+#REF!+G641)</f>
        <v>#REF!</v>
      </c>
      <c r="H618" s="845">
        <f t="shared" ref="H618:K618" si="285">SUM(H621+H641)</f>
        <v>172000</v>
      </c>
      <c r="I618" s="845">
        <f t="shared" si="285"/>
        <v>196500</v>
      </c>
      <c r="J618" s="845">
        <f t="shared" si="285"/>
        <v>196500</v>
      </c>
      <c r="K618" s="845">
        <f t="shared" si="285"/>
        <v>196500</v>
      </c>
      <c r="L618" s="753"/>
      <c r="M618" s="847">
        <f>AVERAGE(J618/I618*100)</f>
        <v>100</v>
      </c>
      <c r="N618" s="848">
        <f>AVERAGE(K618/J618*100)</f>
        <v>100</v>
      </c>
    </row>
    <row r="619" spans="1:14" ht="14.25" x14ac:dyDescent="0.2">
      <c r="A619" s="763"/>
      <c r="B619" s="765"/>
      <c r="C619" s="765"/>
      <c r="D619" s="779" t="s">
        <v>176</v>
      </c>
      <c r="E619" s="826"/>
      <c r="F619" s="722"/>
      <c r="G619" s="722"/>
      <c r="H619" s="722"/>
      <c r="I619" s="722"/>
      <c r="J619" s="722"/>
      <c r="K619" s="722"/>
      <c r="L619" s="753"/>
      <c r="M619" s="968">
        <f>AVERAGE(J621/I621*100)</f>
        <v>100</v>
      </c>
      <c r="N619" s="1006">
        <f>AVERAGE(K621/J621*100)</f>
        <v>100</v>
      </c>
    </row>
    <row r="620" spans="1:14" ht="15.75" x14ac:dyDescent="0.25">
      <c r="A620" s="763"/>
      <c r="B620" s="765"/>
      <c r="C620" s="765"/>
      <c r="D620" s="779" t="s">
        <v>469</v>
      </c>
      <c r="E620" s="827"/>
      <c r="F620" s="722"/>
      <c r="G620" s="722"/>
      <c r="H620" s="722"/>
      <c r="I620" s="722"/>
      <c r="J620" s="722"/>
      <c r="K620" s="722"/>
      <c r="L620" s="771">
        <f t="shared" ref="E620:L621" si="286">SUM(L621+L631)</f>
        <v>1168789.3125</v>
      </c>
      <c r="M620" s="969"/>
      <c r="N620" s="1006"/>
    </row>
    <row r="621" spans="1:14" ht="15.75" x14ac:dyDescent="0.25">
      <c r="A621" s="828"/>
      <c r="B621" s="829"/>
      <c r="C621" s="829"/>
      <c r="D621" s="830" t="s">
        <v>699</v>
      </c>
      <c r="E621" s="831">
        <f t="shared" si="286"/>
        <v>524300</v>
      </c>
      <c r="F621" s="706">
        <f t="shared" si="286"/>
        <v>362000</v>
      </c>
      <c r="G621" s="706">
        <f t="shared" si="286"/>
        <v>48045.656646094634</v>
      </c>
      <c r="H621" s="706">
        <f>SUM(H622+H632)</f>
        <v>158000</v>
      </c>
      <c r="I621" s="456">
        <f t="shared" si="286"/>
        <v>182500</v>
      </c>
      <c r="J621" s="706">
        <f t="shared" si="286"/>
        <v>182500</v>
      </c>
      <c r="K621" s="706">
        <f t="shared" si="286"/>
        <v>182500</v>
      </c>
      <c r="L621" s="836">
        <f t="shared" ref="E621:L622" si="287">SUM(L622+L625+L628)</f>
        <v>1107948.2250000001</v>
      </c>
      <c r="M621" s="969"/>
      <c r="N621" s="1003"/>
    </row>
    <row r="622" spans="1:14" ht="15" x14ac:dyDescent="0.25">
      <c r="A622" s="791" t="s">
        <v>574</v>
      </c>
      <c r="B622" s="832"/>
      <c r="C622" s="833">
        <v>31</v>
      </c>
      <c r="D622" s="834" t="s">
        <v>41</v>
      </c>
      <c r="E622" s="835">
        <f t="shared" si="287"/>
        <v>482800</v>
      </c>
      <c r="F622" s="835">
        <f t="shared" si="287"/>
        <v>350000</v>
      </c>
      <c r="G622" s="835">
        <f t="shared" si="287"/>
        <v>46452.982945119118</v>
      </c>
      <c r="H622" s="835">
        <f t="shared" si="287"/>
        <v>149000</v>
      </c>
      <c r="I622" s="404">
        <f t="shared" si="287"/>
        <v>173000</v>
      </c>
      <c r="J622" s="835">
        <f t="shared" si="287"/>
        <v>173000</v>
      </c>
      <c r="K622" s="835">
        <f t="shared" si="287"/>
        <v>173000</v>
      </c>
      <c r="L622" s="727">
        <f>L623</f>
        <v>896605.5</v>
      </c>
      <c r="M622" s="760">
        <f t="shared" ref="M622:M638" si="288">AVERAGE(J622/I622*100)</f>
        <v>100</v>
      </c>
      <c r="N622" s="761">
        <f t="shared" ref="N622:N638" si="289">AVERAGE(K622/J622*100)</f>
        <v>100</v>
      </c>
    </row>
    <row r="623" spans="1:14" ht="14.25" x14ac:dyDescent="0.2">
      <c r="A623" s="792" t="s">
        <v>574</v>
      </c>
      <c r="B623" s="737"/>
      <c r="C623" s="738">
        <v>311</v>
      </c>
      <c r="D623" s="726" t="s">
        <v>181</v>
      </c>
      <c r="E623" s="720">
        <v>400000</v>
      </c>
      <c r="F623" s="720">
        <f>F624</f>
        <v>300000</v>
      </c>
      <c r="G623" s="720">
        <f>G624</f>
        <v>39816.842524387816</v>
      </c>
      <c r="H623" s="720">
        <f t="shared" ref="H623:K623" si="290">SUM(H624+H625)</f>
        <v>120000</v>
      </c>
      <c r="I623" s="386">
        <f t="shared" si="290"/>
        <v>140000</v>
      </c>
      <c r="J623" s="720">
        <f t="shared" si="290"/>
        <v>140000</v>
      </c>
      <c r="K623" s="720">
        <f t="shared" si="290"/>
        <v>140000</v>
      </c>
      <c r="L623" s="727">
        <f>K624*7.5345</f>
        <v>896605.5</v>
      </c>
      <c r="M623" s="760">
        <f t="shared" si="288"/>
        <v>100</v>
      </c>
      <c r="N623" s="761">
        <f t="shared" si="289"/>
        <v>100</v>
      </c>
    </row>
    <row r="624" spans="1:14" ht="14.25" x14ac:dyDescent="0.2">
      <c r="A624" s="792" t="s">
        <v>574</v>
      </c>
      <c r="B624" s="737"/>
      <c r="C624" s="738">
        <v>3111</v>
      </c>
      <c r="D624" s="726" t="s">
        <v>182</v>
      </c>
      <c r="E624" s="720">
        <v>400000</v>
      </c>
      <c r="F624" s="720">
        <v>300000</v>
      </c>
      <c r="G624" s="720">
        <f>F624/7.5345</f>
        <v>39816.842524387816</v>
      </c>
      <c r="H624" s="720">
        <v>102000</v>
      </c>
      <c r="I624" s="386">
        <v>119000</v>
      </c>
      <c r="J624" s="386">
        <v>119000</v>
      </c>
      <c r="K624" s="386">
        <v>119000</v>
      </c>
      <c r="L624" s="727">
        <f>K625*7.5345</f>
        <v>158224.5</v>
      </c>
      <c r="M624" s="760">
        <f t="shared" si="288"/>
        <v>100</v>
      </c>
      <c r="N624" s="761">
        <f t="shared" si="289"/>
        <v>100</v>
      </c>
    </row>
    <row r="625" spans="1:14" ht="14.25" x14ac:dyDescent="0.2">
      <c r="A625" s="792" t="s">
        <v>574</v>
      </c>
      <c r="B625" s="737"/>
      <c r="C625" s="738">
        <v>3111</v>
      </c>
      <c r="D625" s="726" t="s">
        <v>182</v>
      </c>
      <c r="E625" s="720">
        <v>400000</v>
      </c>
      <c r="F625" s="720">
        <v>300000</v>
      </c>
      <c r="G625" s="720">
        <f>F625/7.5345</f>
        <v>39816.842524387816</v>
      </c>
      <c r="H625" s="720">
        <v>18000</v>
      </c>
      <c r="I625" s="386">
        <v>21000</v>
      </c>
      <c r="J625" s="386">
        <v>21000</v>
      </c>
      <c r="K625" s="386">
        <v>21000</v>
      </c>
      <c r="L625" s="727">
        <f>L626</f>
        <v>57638.925000000003</v>
      </c>
      <c r="M625" s="760">
        <f t="shared" si="288"/>
        <v>100</v>
      </c>
      <c r="N625" s="761">
        <f t="shared" si="289"/>
        <v>100</v>
      </c>
    </row>
    <row r="626" spans="1:14" ht="14.25" x14ac:dyDescent="0.2">
      <c r="A626" s="792" t="s">
        <v>574</v>
      </c>
      <c r="B626" s="737"/>
      <c r="C626" s="738">
        <v>312</v>
      </c>
      <c r="D626" s="726" t="s">
        <v>43</v>
      </c>
      <c r="E626" s="720">
        <v>14000</v>
      </c>
      <c r="F626" s="720">
        <f>F627</f>
        <v>0</v>
      </c>
      <c r="G626" s="720">
        <f>G627</f>
        <v>0</v>
      </c>
      <c r="H626" s="720">
        <f t="shared" ref="H626:K626" si="291">SUM(H627+H628)</f>
        <v>9000</v>
      </c>
      <c r="I626" s="386">
        <f t="shared" si="291"/>
        <v>9000</v>
      </c>
      <c r="J626" s="720">
        <f t="shared" si="291"/>
        <v>9000</v>
      </c>
      <c r="K626" s="720">
        <f t="shared" si="291"/>
        <v>9000</v>
      </c>
      <c r="L626" s="727">
        <f>K627*7.5345</f>
        <v>57638.925000000003</v>
      </c>
      <c r="M626" s="760">
        <f t="shared" si="288"/>
        <v>100</v>
      </c>
      <c r="N626" s="761">
        <f t="shared" si="289"/>
        <v>100</v>
      </c>
    </row>
    <row r="627" spans="1:14" ht="14.25" x14ac:dyDescent="0.2">
      <c r="A627" s="792" t="s">
        <v>574</v>
      </c>
      <c r="B627" s="737"/>
      <c r="C627" s="738">
        <v>3121</v>
      </c>
      <c r="D627" s="726" t="s">
        <v>43</v>
      </c>
      <c r="E627" s="720">
        <v>14000</v>
      </c>
      <c r="F627" s="720">
        <v>0</v>
      </c>
      <c r="G627" s="720">
        <f>F627/7.5345</f>
        <v>0</v>
      </c>
      <c r="H627" s="720">
        <v>7650</v>
      </c>
      <c r="I627" s="386">
        <v>7650</v>
      </c>
      <c r="J627" s="386">
        <v>7650</v>
      </c>
      <c r="K627" s="386">
        <v>7650</v>
      </c>
      <c r="L627" s="727">
        <f>K628*7.5345</f>
        <v>10171.575000000001</v>
      </c>
      <c r="M627" s="760">
        <f t="shared" si="288"/>
        <v>100</v>
      </c>
      <c r="N627" s="761">
        <f t="shared" si="289"/>
        <v>100</v>
      </c>
    </row>
    <row r="628" spans="1:14" ht="14.25" x14ac:dyDescent="0.2">
      <c r="A628" s="792" t="s">
        <v>574</v>
      </c>
      <c r="B628" s="737"/>
      <c r="C628" s="738">
        <v>3121</v>
      </c>
      <c r="D628" s="726" t="s">
        <v>43</v>
      </c>
      <c r="E628" s="720">
        <v>14000</v>
      </c>
      <c r="F628" s="720">
        <v>0</v>
      </c>
      <c r="G628" s="720">
        <f>F628/7.5345</f>
        <v>0</v>
      </c>
      <c r="H628" s="720">
        <v>1350</v>
      </c>
      <c r="I628" s="386">
        <v>1350</v>
      </c>
      <c r="J628" s="386">
        <v>1350</v>
      </c>
      <c r="K628" s="386">
        <v>1350</v>
      </c>
      <c r="L628" s="727">
        <f>L629</f>
        <v>153703.80000000002</v>
      </c>
      <c r="M628" s="760">
        <f t="shared" si="288"/>
        <v>100</v>
      </c>
      <c r="N628" s="761">
        <f t="shared" si="289"/>
        <v>100</v>
      </c>
    </row>
    <row r="629" spans="1:14" ht="14.25" x14ac:dyDescent="0.2">
      <c r="A629" s="792" t="s">
        <v>574</v>
      </c>
      <c r="B629" s="737"/>
      <c r="C629" s="738">
        <v>313</v>
      </c>
      <c r="D629" s="726" t="s">
        <v>44</v>
      </c>
      <c r="E629" s="720">
        <v>68800</v>
      </c>
      <c r="F629" s="720">
        <f>F630</f>
        <v>50000</v>
      </c>
      <c r="G629" s="720">
        <f>G630</f>
        <v>6636.1404207313026</v>
      </c>
      <c r="H629" s="720">
        <f t="shared" ref="H629:K629" si="292">SUM(H630+H631)</f>
        <v>20000</v>
      </c>
      <c r="I629" s="386">
        <f t="shared" si="292"/>
        <v>24000</v>
      </c>
      <c r="J629" s="720">
        <f t="shared" si="292"/>
        <v>24000</v>
      </c>
      <c r="K629" s="720">
        <f t="shared" si="292"/>
        <v>24000</v>
      </c>
      <c r="L629" s="727">
        <f>K630*7.5345</f>
        <v>153703.80000000002</v>
      </c>
      <c r="M629" s="760">
        <f t="shared" si="288"/>
        <v>100</v>
      </c>
      <c r="N629" s="761">
        <f t="shared" si="289"/>
        <v>100</v>
      </c>
    </row>
    <row r="630" spans="1:14" ht="14.25" x14ac:dyDescent="0.2">
      <c r="A630" s="792" t="s">
        <v>574</v>
      </c>
      <c r="B630" s="737"/>
      <c r="C630" s="738">
        <v>3132</v>
      </c>
      <c r="D630" s="726" t="s">
        <v>183</v>
      </c>
      <c r="E630" s="720">
        <v>62000</v>
      </c>
      <c r="F630" s="720">
        <v>50000</v>
      </c>
      <c r="G630" s="720">
        <f>F630/7.5345</f>
        <v>6636.1404207313026</v>
      </c>
      <c r="H630" s="720">
        <v>17000</v>
      </c>
      <c r="I630" s="386">
        <v>20400</v>
      </c>
      <c r="J630" s="386">
        <v>20400</v>
      </c>
      <c r="K630" s="386">
        <v>20400</v>
      </c>
      <c r="L630" s="727">
        <f>K631*7.5345</f>
        <v>27124.2</v>
      </c>
      <c r="M630" s="760">
        <f t="shared" si="288"/>
        <v>100</v>
      </c>
      <c r="N630" s="761">
        <f t="shared" si="289"/>
        <v>100</v>
      </c>
    </row>
    <row r="631" spans="1:14" ht="15" x14ac:dyDescent="0.25">
      <c r="A631" s="792" t="s">
        <v>574</v>
      </c>
      <c r="B631" s="737"/>
      <c r="C631" s="738">
        <v>3132</v>
      </c>
      <c r="D631" s="726" t="s">
        <v>183</v>
      </c>
      <c r="E631" s="720">
        <v>62000</v>
      </c>
      <c r="F631" s="720">
        <v>50000</v>
      </c>
      <c r="G631" s="720">
        <f>F631/7.5345</f>
        <v>6636.1404207313026</v>
      </c>
      <c r="H631" s="720">
        <v>3000</v>
      </c>
      <c r="I631" s="386">
        <v>3600</v>
      </c>
      <c r="J631" s="386">
        <v>3600</v>
      </c>
      <c r="K631" s="386">
        <v>3600</v>
      </c>
      <c r="L631" s="736">
        <f t="shared" ref="F631:L632" si="293">L632+L635</f>
        <v>60841.087500000001</v>
      </c>
      <c r="M631" s="760">
        <f t="shared" si="288"/>
        <v>100</v>
      </c>
      <c r="N631" s="761">
        <f t="shared" si="289"/>
        <v>100</v>
      </c>
    </row>
    <row r="632" spans="1:14" ht="15" x14ac:dyDescent="0.25">
      <c r="A632" s="791" t="s">
        <v>574</v>
      </c>
      <c r="B632" s="732"/>
      <c r="C632" s="733">
        <v>32</v>
      </c>
      <c r="D632" s="734" t="s">
        <v>47</v>
      </c>
      <c r="E632" s="735">
        <v>41500</v>
      </c>
      <c r="F632" s="735">
        <f t="shared" si="293"/>
        <v>12000</v>
      </c>
      <c r="G632" s="735">
        <f t="shared" si="293"/>
        <v>1592.6737009755125</v>
      </c>
      <c r="H632" s="735">
        <f t="shared" si="293"/>
        <v>9000</v>
      </c>
      <c r="I632" s="385">
        <f t="shared" si="293"/>
        <v>9500</v>
      </c>
      <c r="J632" s="735">
        <f t="shared" si="293"/>
        <v>9500</v>
      </c>
      <c r="K632" s="735">
        <f t="shared" si="293"/>
        <v>9500</v>
      </c>
      <c r="L632" s="727">
        <f>SUM(L633)</f>
        <v>16010.8125</v>
      </c>
      <c r="M632" s="760">
        <f t="shared" si="288"/>
        <v>100</v>
      </c>
      <c r="N632" s="761">
        <f t="shared" si="289"/>
        <v>100</v>
      </c>
    </row>
    <row r="633" spans="1:14" ht="14.25" x14ac:dyDescent="0.2">
      <c r="A633" s="792" t="s">
        <v>574</v>
      </c>
      <c r="B633" s="737"/>
      <c r="C633" s="738">
        <v>321</v>
      </c>
      <c r="D633" s="726" t="s">
        <v>48</v>
      </c>
      <c r="E633" s="720">
        <f>SUM(E634:E638)</f>
        <v>68000</v>
      </c>
      <c r="F633" s="720">
        <f>SUM(F634)</f>
        <v>10000</v>
      </c>
      <c r="G633" s="720">
        <f>SUM(G634)</f>
        <v>1327.2280841462605</v>
      </c>
      <c r="H633" s="720">
        <f t="shared" ref="H633:K633" si="294">SUM(H634+H635)</f>
        <v>3000</v>
      </c>
      <c r="I633" s="386">
        <f t="shared" si="294"/>
        <v>2500</v>
      </c>
      <c r="J633" s="720">
        <f t="shared" si="294"/>
        <v>2500</v>
      </c>
      <c r="K633" s="720">
        <f t="shared" si="294"/>
        <v>2500</v>
      </c>
      <c r="L633" s="727">
        <f>K634*7.5345</f>
        <v>16010.8125</v>
      </c>
      <c r="M633" s="760">
        <f t="shared" si="288"/>
        <v>100</v>
      </c>
      <c r="N633" s="761">
        <f t="shared" si="289"/>
        <v>100</v>
      </c>
    </row>
    <row r="634" spans="1:14" ht="14.25" x14ac:dyDescent="0.2">
      <c r="A634" s="792" t="s">
        <v>574</v>
      </c>
      <c r="B634" s="737"/>
      <c r="C634" s="738">
        <v>3214</v>
      </c>
      <c r="D634" s="726" t="s">
        <v>185</v>
      </c>
      <c r="E634" s="720">
        <v>18000</v>
      </c>
      <c r="F634" s="720">
        <v>10000</v>
      </c>
      <c r="G634" s="720">
        <f>F634/7.5345</f>
        <v>1327.2280841462605</v>
      </c>
      <c r="H634" s="720">
        <v>2550</v>
      </c>
      <c r="I634" s="386">
        <v>2125</v>
      </c>
      <c r="J634" s="386">
        <v>2125</v>
      </c>
      <c r="K634" s="386">
        <v>2125</v>
      </c>
      <c r="L634" s="727">
        <f>K635*7.5345</f>
        <v>2825.4375</v>
      </c>
      <c r="M634" s="760">
        <f t="shared" si="288"/>
        <v>100</v>
      </c>
      <c r="N634" s="761">
        <f t="shared" si="289"/>
        <v>100</v>
      </c>
    </row>
    <row r="635" spans="1:14" ht="14.25" x14ac:dyDescent="0.2">
      <c r="A635" s="792" t="s">
        <v>574</v>
      </c>
      <c r="B635" s="737"/>
      <c r="C635" s="738">
        <v>3214</v>
      </c>
      <c r="D635" s="726" t="s">
        <v>185</v>
      </c>
      <c r="E635" s="720">
        <v>18000</v>
      </c>
      <c r="F635" s="720">
        <v>10000</v>
      </c>
      <c r="G635" s="720">
        <f>F635/7.5345</f>
        <v>1327.2280841462605</v>
      </c>
      <c r="H635" s="720">
        <v>450</v>
      </c>
      <c r="I635" s="386">
        <v>375</v>
      </c>
      <c r="J635" s="386">
        <v>375</v>
      </c>
      <c r="K635" s="386">
        <v>375</v>
      </c>
      <c r="L635" s="727">
        <f>SUM(L636)</f>
        <v>44830.275000000001</v>
      </c>
      <c r="M635" s="760">
        <f t="shared" si="288"/>
        <v>100</v>
      </c>
      <c r="N635" s="761">
        <f t="shared" si="289"/>
        <v>100</v>
      </c>
    </row>
    <row r="636" spans="1:14" ht="14.25" x14ac:dyDescent="0.2">
      <c r="A636" s="792" t="s">
        <v>574</v>
      </c>
      <c r="B636" s="737"/>
      <c r="C636" s="738">
        <v>322</v>
      </c>
      <c r="D636" s="726" t="s">
        <v>52</v>
      </c>
      <c r="E636" s="720">
        <f>SUM(E637:E638)</f>
        <v>16000</v>
      </c>
      <c r="F636" s="720">
        <f>SUM(F637)</f>
        <v>2000</v>
      </c>
      <c r="G636" s="720">
        <f>SUM(G637)</f>
        <v>265.44561682925212</v>
      </c>
      <c r="H636" s="720">
        <f t="shared" ref="H636:K636" si="295">SUM(H637+H638)</f>
        <v>6000</v>
      </c>
      <c r="I636" s="386">
        <f t="shared" si="295"/>
        <v>7000</v>
      </c>
      <c r="J636" s="720">
        <f t="shared" si="295"/>
        <v>7000</v>
      </c>
      <c r="K636" s="720">
        <f t="shared" si="295"/>
        <v>7000</v>
      </c>
      <c r="L636" s="744">
        <f>K637*7.5345</f>
        <v>44830.275000000001</v>
      </c>
      <c r="M636" s="760">
        <f t="shared" si="288"/>
        <v>100</v>
      </c>
      <c r="N636" s="761">
        <f t="shared" si="289"/>
        <v>100</v>
      </c>
    </row>
    <row r="637" spans="1:14" ht="15" thickBot="1" x14ac:dyDescent="0.25">
      <c r="A637" s="837" t="s">
        <v>574</v>
      </c>
      <c r="B637" s="740"/>
      <c r="C637" s="741">
        <v>3221</v>
      </c>
      <c r="D637" s="742" t="s">
        <v>53</v>
      </c>
      <c r="E637" s="743">
        <v>16000</v>
      </c>
      <c r="F637" s="743">
        <v>2000</v>
      </c>
      <c r="G637" s="743">
        <f>F637/7.5345</f>
        <v>265.44561682925212</v>
      </c>
      <c r="H637" s="743">
        <v>5100</v>
      </c>
      <c r="I637" s="384">
        <v>5950</v>
      </c>
      <c r="J637" s="384">
        <v>5950</v>
      </c>
      <c r="K637" s="384">
        <v>5950</v>
      </c>
      <c r="L637" s="750"/>
      <c r="M637" s="728">
        <f t="shared" si="288"/>
        <v>100</v>
      </c>
      <c r="N637" s="755">
        <f t="shared" si="289"/>
        <v>100</v>
      </c>
    </row>
    <row r="638" spans="1:14" ht="15.75" thickTop="1" thickBot="1" x14ac:dyDescent="0.25">
      <c r="A638" s="793" t="s">
        <v>574</v>
      </c>
      <c r="B638" s="746"/>
      <c r="C638" s="747">
        <v>3221</v>
      </c>
      <c r="D638" s="748" t="s">
        <v>53</v>
      </c>
      <c r="E638" s="749"/>
      <c r="F638" s="749"/>
      <c r="G638" s="749"/>
      <c r="H638" s="749">
        <v>900</v>
      </c>
      <c r="I638" s="412">
        <v>1050</v>
      </c>
      <c r="J638" s="412">
        <v>1050</v>
      </c>
      <c r="K638" s="412">
        <v>1050</v>
      </c>
      <c r="L638" s="753"/>
      <c r="M638" s="751">
        <f t="shared" si="288"/>
        <v>100</v>
      </c>
      <c r="N638" s="751">
        <f t="shared" si="289"/>
        <v>100</v>
      </c>
    </row>
    <row r="639" spans="1:14" ht="15" thickTop="1" x14ac:dyDescent="0.2">
      <c r="A639" s="763"/>
      <c r="B639" s="790"/>
      <c r="C639" s="765"/>
      <c r="D639" s="779" t="s">
        <v>176</v>
      </c>
      <c r="E639" s="826"/>
      <c r="F639" s="753"/>
      <c r="G639" s="753"/>
      <c r="H639" s="722"/>
      <c r="I639" s="395"/>
      <c r="J639" s="722"/>
      <c r="K639" s="722"/>
      <c r="L639" s="753"/>
      <c r="M639" s="968">
        <f>AVERAGE(J641/I641*100)</f>
        <v>100</v>
      </c>
      <c r="N639" s="1025">
        <f>AVERAGE(K641/J641*100)</f>
        <v>100</v>
      </c>
    </row>
    <row r="640" spans="1:14" ht="15.75" x14ac:dyDescent="0.25">
      <c r="A640" s="763"/>
      <c r="B640" s="790"/>
      <c r="C640" s="765"/>
      <c r="D640" s="779" t="s">
        <v>469</v>
      </c>
      <c r="E640" s="827"/>
      <c r="F640" s="722"/>
      <c r="G640" s="722"/>
      <c r="H640" s="722"/>
      <c r="I640" s="395"/>
      <c r="J640" s="722"/>
      <c r="K640" s="722"/>
      <c r="L640" s="771">
        <f t="shared" ref="F640:L641" si="296">SUM(L641)</f>
        <v>30514.725000000002</v>
      </c>
      <c r="M640" s="969"/>
      <c r="N640" s="1006"/>
    </row>
    <row r="641" spans="1:14" ht="15.75" x14ac:dyDescent="0.25">
      <c r="A641" s="828"/>
      <c r="B641" s="838"/>
      <c r="C641" s="829"/>
      <c r="D641" s="830" t="s">
        <v>700</v>
      </c>
      <c r="E641" s="831" t="e">
        <f>SUM(#REF!+E671)</f>
        <v>#REF!</v>
      </c>
      <c r="F641" s="706">
        <f t="shared" si="296"/>
        <v>1000</v>
      </c>
      <c r="G641" s="706">
        <f t="shared" si="296"/>
        <v>132.72280841462606</v>
      </c>
      <c r="H641" s="706">
        <f t="shared" si="296"/>
        <v>14000</v>
      </c>
      <c r="I641" s="456">
        <f t="shared" si="296"/>
        <v>14000</v>
      </c>
      <c r="J641" s="706">
        <f t="shared" si="296"/>
        <v>14000</v>
      </c>
      <c r="K641" s="706">
        <f t="shared" si="296"/>
        <v>14000</v>
      </c>
      <c r="L641" s="736">
        <f t="shared" ref="F641:L642" si="297">L642+L647</f>
        <v>30514.725000000002</v>
      </c>
      <c r="M641" s="969"/>
      <c r="N641" s="1003"/>
    </row>
    <row r="642" spans="1:14" ht="15" x14ac:dyDescent="0.25">
      <c r="A642" s="791" t="s">
        <v>698</v>
      </c>
      <c r="B642" s="732"/>
      <c r="C642" s="733">
        <v>32</v>
      </c>
      <c r="D642" s="734" t="s">
        <v>47</v>
      </c>
      <c r="E642" s="735">
        <v>41500</v>
      </c>
      <c r="F642" s="735">
        <f t="shared" si="297"/>
        <v>1000</v>
      </c>
      <c r="G642" s="735">
        <f t="shared" si="297"/>
        <v>132.72280841462606</v>
      </c>
      <c r="H642" s="735">
        <f>H643+H648</f>
        <v>14000</v>
      </c>
      <c r="I642" s="385">
        <f t="shared" si="297"/>
        <v>14000</v>
      </c>
      <c r="J642" s="735">
        <f t="shared" si="297"/>
        <v>14000</v>
      </c>
      <c r="K642" s="735">
        <f t="shared" si="297"/>
        <v>14000</v>
      </c>
      <c r="L642" s="727">
        <f>SUM(L643)</f>
        <v>19212.975000000002</v>
      </c>
      <c r="M642" s="760">
        <f t="shared" ref="M642:M650" si="298">AVERAGE(J642/I642*100)</f>
        <v>100</v>
      </c>
      <c r="N642" s="761">
        <f t="shared" ref="N642:N650" si="299">AVERAGE(K642/J642*100)</f>
        <v>100</v>
      </c>
    </row>
    <row r="643" spans="1:14" ht="14.25" x14ac:dyDescent="0.2">
      <c r="A643" s="792" t="s">
        <v>698</v>
      </c>
      <c r="B643" s="737"/>
      <c r="C643" s="738">
        <v>323</v>
      </c>
      <c r="D643" s="726" t="s">
        <v>56</v>
      </c>
      <c r="E643" s="720" t="e">
        <f>SUM(E644:E673)</f>
        <v>#REF!</v>
      </c>
      <c r="F643" s="720">
        <f>SUM(F644)</f>
        <v>1000</v>
      </c>
      <c r="G643" s="720">
        <f>SUM(G644)</f>
        <v>132.72280841462606</v>
      </c>
      <c r="H643" s="720">
        <f t="shared" ref="H643:K643" si="300">SUM(H644+H645+H646+H647)</f>
        <v>12500</v>
      </c>
      <c r="I643" s="386">
        <f t="shared" si="300"/>
        <v>12500</v>
      </c>
      <c r="J643" s="720">
        <f t="shared" si="300"/>
        <v>12500</v>
      </c>
      <c r="K643" s="720">
        <f t="shared" si="300"/>
        <v>12500</v>
      </c>
      <c r="L643" s="727">
        <f>K644*7.5345</f>
        <v>19212.975000000002</v>
      </c>
      <c r="M643" s="760">
        <f t="shared" si="298"/>
        <v>100</v>
      </c>
      <c r="N643" s="761">
        <f t="shared" si="299"/>
        <v>100</v>
      </c>
    </row>
    <row r="644" spans="1:14" ht="14.25" x14ac:dyDescent="0.2">
      <c r="A644" s="792" t="s">
        <v>698</v>
      </c>
      <c r="B644" s="737"/>
      <c r="C644" s="738">
        <v>3233</v>
      </c>
      <c r="D644" s="726" t="s">
        <v>59</v>
      </c>
      <c r="E644" s="720">
        <v>25000</v>
      </c>
      <c r="F644" s="720">
        <v>1000</v>
      </c>
      <c r="G644" s="720">
        <f>F644/7.5345</f>
        <v>132.72280841462606</v>
      </c>
      <c r="H644" s="720">
        <v>2550</v>
      </c>
      <c r="I644" s="386">
        <v>2550</v>
      </c>
      <c r="J644" s="720">
        <v>2550</v>
      </c>
      <c r="K644" s="720">
        <v>2550</v>
      </c>
      <c r="L644" s="727">
        <f>K645*7.5345</f>
        <v>3390.5250000000001</v>
      </c>
      <c r="M644" s="760">
        <f t="shared" si="298"/>
        <v>100</v>
      </c>
      <c r="N644" s="761">
        <f t="shared" si="299"/>
        <v>100</v>
      </c>
    </row>
    <row r="645" spans="1:14" ht="14.25" x14ac:dyDescent="0.2">
      <c r="A645" s="792" t="s">
        <v>698</v>
      </c>
      <c r="B645" s="737"/>
      <c r="C645" s="738">
        <v>3233</v>
      </c>
      <c r="D645" s="726" t="s">
        <v>59</v>
      </c>
      <c r="E645" s="720">
        <v>25000</v>
      </c>
      <c r="F645" s="720">
        <v>1000</v>
      </c>
      <c r="G645" s="720">
        <f>F645/7.5345</f>
        <v>132.72280841462606</v>
      </c>
      <c r="H645" s="720">
        <v>450</v>
      </c>
      <c r="I645" s="386">
        <v>450</v>
      </c>
      <c r="J645" s="720">
        <v>450</v>
      </c>
      <c r="K645" s="720">
        <v>450</v>
      </c>
      <c r="L645" s="753"/>
      <c r="M645" s="760">
        <f t="shared" si="298"/>
        <v>100</v>
      </c>
      <c r="N645" s="761">
        <f t="shared" si="299"/>
        <v>100</v>
      </c>
    </row>
    <row r="646" spans="1:14" ht="14.25" x14ac:dyDescent="0.2">
      <c r="A646" s="729" t="s">
        <v>698</v>
      </c>
      <c r="B646" s="737"/>
      <c r="C646" s="738">
        <v>3237</v>
      </c>
      <c r="D646" s="726" t="s">
        <v>62</v>
      </c>
      <c r="E646" s="722"/>
      <c r="F646" s="722"/>
      <c r="G646" s="722"/>
      <c r="H646" s="720">
        <v>8075</v>
      </c>
      <c r="I646" s="386">
        <v>8075</v>
      </c>
      <c r="J646" s="386">
        <v>8075</v>
      </c>
      <c r="K646" s="386">
        <v>8075</v>
      </c>
      <c r="L646" s="753"/>
      <c r="M646" s="760">
        <f t="shared" si="298"/>
        <v>100</v>
      </c>
      <c r="N646" s="761">
        <f t="shared" si="299"/>
        <v>100</v>
      </c>
    </row>
    <row r="647" spans="1:14" ht="14.25" x14ac:dyDescent="0.2">
      <c r="A647" s="729" t="s">
        <v>698</v>
      </c>
      <c r="B647" s="737"/>
      <c r="C647" s="738">
        <v>3237</v>
      </c>
      <c r="D647" s="726" t="s">
        <v>62</v>
      </c>
      <c r="E647" s="722"/>
      <c r="F647" s="722"/>
      <c r="G647" s="722"/>
      <c r="H647" s="722">
        <v>1425</v>
      </c>
      <c r="I647" s="395">
        <v>1425</v>
      </c>
      <c r="J647" s="395">
        <v>1425</v>
      </c>
      <c r="K647" s="395">
        <v>1425</v>
      </c>
      <c r="L647" s="727">
        <f>SUM(L648:L648)</f>
        <v>11301.75</v>
      </c>
      <c r="M647" s="760">
        <f t="shared" si="298"/>
        <v>100</v>
      </c>
      <c r="N647" s="761">
        <f t="shared" si="299"/>
        <v>100</v>
      </c>
    </row>
    <row r="648" spans="1:14" ht="15" thickBot="1" x14ac:dyDescent="0.25">
      <c r="A648" s="792" t="s">
        <v>698</v>
      </c>
      <c r="B648" s="737"/>
      <c r="C648" s="738">
        <v>329</v>
      </c>
      <c r="D648" s="726" t="s">
        <v>65</v>
      </c>
      <c r="E648" s="720">
        <f>SUM(E649:E649)</f>
        <v>10000</v>
      </c>
      <c r="F648" s="720">
        <f>SUM(F649:F649)</f>
        <v>0</v>
      </c>
      <c r="G648" s="720">
        <f>SUM(G649:G649)</f>
        <v>0</v>
      </c>
      <c r="H648" s="720">
        <f t="shared" ref="H648:K648" si="301">SUM(H649)</f>
        <v>1500</v>
      </c>
      <c r="I648" s="386">
        <f t="shared" si="301"/>
        <v>1500</v>
      </c>
      <c r="J648" s="720">
        <f t="shared" si="301"/>
        <v>1500</v>
      </c>
      <c r="K648" s="720">
        <f t="shared" si="301"/>
        <v>1500</v>
      </c>
      <c r="L648" s="727">
        <f>K649*7.5345</f>
        <v>11301.75</v>
      </c>
      <c r="M648" s="760">
        <f t="shared" si="298"/>
        <v>100</v>
      </c>
      <c r="N648" s="761">
        <f t="shared" si="299"/>
        <v>100</v>
      </c>
    </row>
    <row r="649" spans="1:14" ht="18.75" thickBot="1" x14ac:dyDescent="0.25">
      <c r="A649" s="792" t="s">
        <v>698</v>
      </c>
      <c r="B649" s="737"/>
      <c r="C649" s="738">
        <v>3293</v>
      </c>
      <c r="D649" s="726" t="s">
        <v>68</v>
      </c>
      <c r="E649" s="720">
        <v>10000</v>
      </c>
      <c r="F649" s="720">
        <v>0</v>
      </c>
      <c r="G649" s="720">
        <f>F649/7.5345</f>
        <v>0</v>
      </c>
      <c r="H649" s="720">
        <v>1500</v>
      </c>
      <c r="I649" s="386">
        <v>1500</v>
      </c>
      <c r="J649" s="386">
        <v>1500</v>
      </c>
      <c r="K649" s="386">
        <v>1500</v>
      </c>
      <c r="L649" s="596">
        <f t="shared" ref="F649:L650" si="302">SUM(L652)</f>
        <v>78358.8</v>
      </c>
      <c r="M649" s="760">
        <f t="shared" si="298"/>
        <v>100</v>
      </c>
      <c r="N649" s="761">
        <f t="shared" si="299"/>
        <v>100</v>
      </c>
    </row>
    <row r="650" spans="1:14" ht="18.75" thickBot="1" x14ac:dyDescent="0.3">
      <c r="A650" s="1018" t="s">
        <v>701</v>
      </c>
      <c r="B650" s="1019"/>
      <c r="C650" s="1019"/>
      <c r="D650" s="1020"/>
      <c r="E650" s="445" t="e">
        <f>SUM(E653+#REF!+E729+E739+E745+E751)</f>
        <v>#REF!</v>
      </c>
      <c r="F650" s="445">
        <f t="shared" si="302"/>
        <v>78300</v>
      </c>
      <c r="G650" s="591">
        <f t="shared" si="302"/>
        <v>10392.195898865219</v>
      </c>
      <c r="H650" s="591">
        <f t="shared" si="302"/>
        <v>13000</v>
      </c>
      <c r="I650" s="591">
        <f t="shared" si="302"/>
        <v>13000</v>
      </c>
      <c r="J650" s="591">
        <f t="shared" si="302"/>
        <v>13000</v>
      </c>
      <c r="K650" s="591">
        <f t="shared" si="302"/>
        <v>13000</v>
      </c>
      <c r="L650" s="575"/>
      <c r="M650" s="598">
        <f t="shared" si="298"/>
        <v>100</v>
      </c>
      <c r="N650" s="599">
        <f t="shared" si="299"/>
        <v>100</v>
      </c>
    </row>
    <row r="651" spans="1:14" ht="14.25" x14ac:dyDescent="0.2">
      <c r="A651" s="425"/>
      <c r="B651" s="42"/>
      <c r="C651" s="42"/>
      <c r="D651" s="419" t="s">
        <v>176</v>
      </c>
      <c r="E651" s="409"/>
      <c r="F651" s="395"/>
      <c r="G651" s="395"/>
      <c r="H651" s="395"/>
      <c r="I651" s="395"/>
      <c r="J651" s="395"/>
      <c r="K651" s="395"/>
      <c r="L651" s="575"/>
      <c r="M651" s="964">
        <f>AVERAGE(J653/I653*100)</f>
        <v>100</v>
      </c>
      <c r="N651" s="993">
        <f>AVERAGE(K653/J653*100)</f>
        <v>100</v>
      </c>
    </row>
    <row r="652" spans="1:14" ht="15.75" x14ac:dyDescent="0.25">
      <c r="A652" s="425"/>
      <c r="B652" s="42"/>
      <c r="C652" s="42"/>
      <c r="D652" s="419" t="s">
        <v>520</v>
      </c>
      <c r="E652" s="402"/>
      <c r="F652" s="395"/>
      <c r="G652" s="395"/>
      <c r="H652" s="395"/>
      <c r="I652" s="395"/>
      <c r="J652" s="395"/>
      <c r="K652" s="395"/>
      <c r="L652" s="576">
        <f t="shared" ref="E652:L653" si="303">SUM(L653+L662)</f>
        <v>78358.8</v>
      </c>
      <c r="M652" s="965"/>
      <c r="N652" s="993"/>
    </row>
    <row r="653" spans="1:14" ht="15.75" x14ac:dyDescent="0.25">
      <c r="A653" s="452"/>
      <c r="B653" s="453"/>
      <c r="C653" s="453"/>
      <c r="D653" s="454" t="s">
        <v>702</v>
      </c>
      <c r="E653" s="455">
        <f t="shared" si="303"/>
        <v>524300</v>
      </c>
      <c r="F653" s="456">
        <f t="shared" si="303"/>
        <v>78300</v>
      </c>
      <c r="G653" s="456">
        <f t="shared" si="303"/>
        <v>10392.195898865219</v>
      </c>
      <c r="H653" s="456">
        <f>SUM(H654+H663)</f>
        <v>13000</v>
      </c>
      <c r="I653" s="456">
        <f t="shared" si="303"/>
        <v>13000</v>
      </c>
      <c r="J653" s="456">
        <f t="shared" si="303"/>
        <v>13000</v>
      </c>
      <c r="K653" s="456">
        <f t="shared" si="303"/>
        <v>13000</v>
      </c>
      <c r="L653" s="577">
        <f t="shared" ref="F653:L654" si="304">SUM(L654+L659)</f>
        <v>72331.199999999997</v>
      </c>
      <c r="M653" s="965"/>
      <c r="N653" s="967"/>
    </row>
    <row r="654" spans="1:14" ht="15" x14ac:dyDescent="0.25">
      <c r="A654" s="381" t="s">
        <v>703</v>
      </c>
      <c r="B654" s="485"/>
      <c r="C654" s="415">
        <v>31</v>
      </c>
      <c r="D654" s="392" t="s">
        <v>41</v>
      </c>
      <c r="E654" s="404">
        <f>SUM(E655+E658+E660)</f>
        <v>482800</v>
      </c>
      <c r="F654" s="404">
        <f t="shared" si="304"/>
        <v>73300</v>
      </c>
      <c r="G654" s="404">
        <f t="shared" si="304"/>
        <v>9728.5818567920887</v>
      </c>
      <c r="H654" s="404">
        <f t="shared" si="304"/>
        <v>12000</v>
      </c>
      <c r="I654" s="404">
        <f t="shared" si="304"/>
        <v>12000</v>
      </c>
      <c r="J654" s="404">
        <f t="shared" si="304"/>
        <v>12000</v>
      </c>
      <c r="K654" s="404">
        <f t="shared" si="304"/>
        <v>12000</v>
      </c>
      <c r="L654" s="578">
        <f>L655</f>
        <v>60276</v>
      </c>
      <c r="M654" s="408">
        <f t="shared" ref="M654:M666" si="305">AVERAGE(J654/I654*100)</f>
        <v>100</v>
      </c>
      <c r="N654" s="426">
        <f t="shared" ref="N654:N666" si="306">AVERAGE(K654/J654*100)</f>
        <v>100</v>
      </c>
    </row>
    <row r="655" spans="1:14" ht="14.25" x14ac:dyDescent="0.2">
      <c r="A655" s="378" t="s">
        <v>703</v>
      </c>
      <c r="B655" s="486"/>
      <c r="C655" s="390">
        <v>311</v>
      </c>
      <c r="D655" s="391" t="s">
        <v>181</v>
      </c>
      <c r="E655" s="386">
        <v>400000</v>
      </c>
      <c r="F655" s="386">
        <f>F656</f>
        <v>63300</v>
      </c>
      <c r="G655" s="386">
        <f>G656</f>
        <v>8401.3537726458289</v>
      </c>
      <c r="H655" s="386">
        <f t="shared" ref="H655:K655" si="307">SUM(H656+H657)</f>
        <v>10000</v>
      </c>
      <c r="I655" s="386">
        <f t="shared" si="307"/>
        <v>10000</v>
      </c>
      <c r="J655" s="386">
        <f t="shared" si="307"/>
        <v>10000</v>
      </c>
      <c r="K655" s="386">
        <f t="shared" si="307"/>
        <v>10000</v>
      </c>
      <c r="L655" s="578">
        <f>K656*7.5345</f>
        <v>60276</v>
      </c>
      <c r="M655" s="408">
        <f t="shared" si="305"/>
        <v>100</v>
      </c>
      <c r="N655" s="426">
        <f t="shared" si="306"/>
        <v>100</v>
      </c>
    </row>
    <row r="656" spans="1:14" ht="14.25" x14ac:dyDescent="0.2">
      <c r="A656" s="378" t="s">
        <v>703</v>
      </c>
      <c r="B656" s="486"/>
      <c r="C656" s="390">
        <v>3111</v>
      </c>
      <c r="D656" s="391" t="s">
        <v>182</v>
      </c>
      <c r="E656" s="386">
        <v>400000</v>
      </c>
      <c r="F656" s="386">
        <v>63300</v>
      </c>
      <c r="G656" s="386">
        <f>F656/7.5345</f>
        <v>8401.3537726458289</v>
      </c>
      <c r="H656" s="386">
        <v>8000</v>
      </c>
      <c r="I656" s="386">
        <v>8000</v>
      </c>
      <c r="J656" s="386">
        <v>8000</v>
      </c>
      <c r="K656" s="386">
        <v>8000</v>
      </c>
      <c r="L656" s="578">
        <f>K657*7.5345</f>
        <v>15069</v>
      </c>
      <c r="M656" s="408">
        <f t="shared" si="305"/>
        <v>100</v>
      </c>
      <c r="N656" s="426">
        <f t="shared" si="306"/>
        <v>100</v>
      </c>
    </row>
    <row r="657" spans="1:14" ht="14.25" x14ac:dyDescent="0.2">
      <c r="A657" s="378" t="s">
        <v>703</v>
      </c>
      <c r="B657" s="486"/>
      <c r="C657" s="390">
        <v>3111</v>
      </c>
      <c r="D657" s="391" t="s">
        <v>182</v>
      </c>
      <c r="E657" s="386">
        <v>400000</v>
      </c>
      <c r="F657" s="386">
        <v>63300</v>
      </c>
      <c r="G657" s="386">
        <f>F657/7.5345</f>
        <v>8401.3537726458289</v>
      </c>
      <c r="H657" s="386">
        <v>2000</v>
      </c>
      <c r="I657" s="386">
        <v>2000</v>
      </c>
      <c r="J657" s="386">
        <v>2000</v>
      </c>
      <c r="K657" s="386">
        <v>2000</v>
      </c>
      <c r="L657" s="578">
        <f t="shared" ref="F657:L658" si="308">L658</f>
        <v>0</v>
      </c>
      <c r="M657" s="408">
        <f t="shared" si="305"/>
        <v>100</v>
      </c>
      <c r="N657" s="426">
        <f t="shared" si="306"/>
        <v>100</v>
      </c>
    </row>
    <row r="658" spans="1:14" ht="14.25" x14ac:dyDescent="0.2">
      <c r="A658" s="378" t="s">
        <v>703</v>
      </c>
      <c r="B658" s="486"/>
      <c r="C658" s="390">
        <v>312</v>
      </c>
      <c r="D658" s="391" t="s">
        <v>43</v>
      </c>
      <c r="E658" s="386">
        <v>14000</v>
      </c>
      <c r="F658" s="386">
        <f t="shared" si="308"/>
        <v>0</v>
      </c>
      <c r="G658" s="386">
        <f t="shared" si="308"/>
        <v>0</v>
      </c>
      <c r="H658" s="386">
        <f t="shared" si="308"/>
        <v>0</v>
      </c>
      <c r="I658" s="386">
        <f t="shared" si="308"/>
        <v>0</v>
      </c>
      <c r="J658" s="386">
        <f t="shared" si="308"/>
        <v>0</v>
      </c>
      <c r="K658" s="386">
        <f t="shared" si="308"/>
        <v>0</v>
      </c>
      <c r="L658" s="578">
        <v>0</v>
      </c>
      <c r="M658" s="408" t="e">
        <f t="shared" si="305"/>
        <v>#DIV/0!</v>
      </c>
      <c r="N658" s="426" t="e">
        <f t="shared" si="306"/>
        <v>#DIV/0!</v>
      </c>
    </row>
    <row r="659" spans="1:14" ht="14.25" x14ac:dyDescent="0.2">
      <c r="A659" s="378" t="s">
        <v>703</v>
      </c>
      <c r="B659" s="486"/>
      <c r="C659" s="390">
        <v>3121</v>
      </c>
      <c r="D659" s="391" t="s">
        <v>43</v>
      </c>
      <c r="E659" s="386">
        <v>14000</v>
      </c>
      <c r="F659" s="386">
        <v>0</v>
      </c>
      <c r="G659" s="386">
        <v>0</v>
      </c>
      <c r="H659" s="386">
        <v>0</v>
      </c>
      <c r="I659" s="386">
        <v>0</v>
      </c>
      <c r="J659" s="386">
        <v>0</v>
      </c>
      <c r="K659" s="386">
        <v>0</v>
      </c>
      <c r="L659" s="578">
        <f>L660</f>
        <v>12055.2</v>
      </c>
      <c r="M659" s="408" t="e">
        <f t="shared" si="305"/>
        <v>#DIV/0!</v>
      </c>
      <c r="N659" s="426" t="e">
        <f t="shared" si="306"/>
        <v>#DIV/0!</v>
      </c>
    </row>
    <row r="660" spans="1:14" ht="14.25" x14ac:dyDescent="0.2">
      <c r="A660" s="378" t="s">
        <v>703</v>
      </c>
      <c r="B660" s="486"/>
      <c r="C660" s="390">
        <v>313</v>
      </c>
      <c r="D660" s="391" t="s">
        <v>44</v>
      </c>
      <c r="E660" s="386">
        <v>68800</v>
      </c>
      <c r="F660" s="386">
        <f>F661</f>
        <v>10000</v>
      </c>
      <c r="G660" s="386">
        <f>G661</f>
        <v>1327.2280841462605</v>
      </c>
      <c r="H660" s="386">
        <f>SUM(H661+H662)</f>
        <v>2000</v>
      </c>
      <c r="I660" s="386">
        <v>2000</v>
      </c>
      <c r="J660" s="386">
        <f>SUM(J661+J662)</f>
        <v>2000</v>
      </c>
      <c r="K660" s="386">
        <f>SUM(K661+K662)</f>
        <v>2000</v>
      </c>
      <c r="L660" s="578">
        <f>K661*7.5345</f>
        <v>12055.2</v>
      </c>
      <c r="M660" s="408">
        <f t="shared" si="305"/>
        <v>100</v>
      </c>
      <c r="N660" s="426">
        <f t="shared" si="306"/>
        <v>100</v>
      </c>
    </row>
    <row r="661" spans="1:14" ht="14.25" x14ac:dyDescent="0.2">
      <c r="A661" s="378" t="s">
        <v>703</v>
      </c>
      <c r="B661" s="486"/>
      <c r="C661" s="390">
        <v>3132</v>
      </c>
      <c r="D661" s="391" t="s">
        <v>183</v>
      </c>
      <c r="E661" s="386">
        <v>62000</v>
      </c>
      <c r="F661" s="386">
        <v>10000</v>
      </c>
      <c r="G661" s="386">
        <f>F661/7.5345</f>
        <v>1327.2280841462605</v>
      </c>
      <c r="H661" s="386">
        <v>1600</v>
      </c>
      <c r="I661" s="386">
        <v>1600</v>
      </c>
      <c r="J661" s="386">
        <v>1600</v>
      </c>
      <c r="K661" s="386">
        <v>1600</v>
      </c>
      <c r="L661" s="578">
        <f>K662*7.5345</f>
        <v>3013.8</v>
      </c>
      <c r="M661" s="408">
        <f t="shared" si="305"/>
        <v>100</v>
      </c>
      <c r="N661" s="426">
        <f t="shared" si="306"/>
        <v>100</v>
      </c>
    </row>
    <row r="662" spans="1:14" ht="15" x14ac:dyDescent="0.25">
      <c r="A662" s="378" t="s">
        <v>703</v>
      </c>
      <c r="B662" s="486"/>
      <c r="C662" s="390">
        <v>3132</v>
      </c>
      <c r="D662" s="391" t="s">
        <v>183</v>
      </c>
      <c r="E662" s="386">
        <v>62000</v>
      </c>
      <c r="F662" s="386">
        <v>10000</v>
      </c>
      <c r="G662" s="386">
        <f>F662/7.5345</f>
        <v>1327.2280841462605</v>
      </c>
      <c r="H662" s="386">
        <v>400</v>
      </c>
      <c r="I662" s="386">
        <v>400</v>
      </c>
      <c r="J662" s="386">
        <v>400</v>
      </c>
      <c r="K662" s="386">
        <v>400</v>
      </c>
      <c r="L662" s="579">
        <f t="shared" ref="F662:L663" si="309">L663</f>
        <v>6027.6</v>
      </c>
      <c r="M662" s="408">
        <f t="shared" si="305"/>
        <v>100</v>
      </c>
      <c r="N662" s="426">
        <f t="shared" si="306"/>
        <v>100</v>
      </c>
    </row>
    <row r="663" spans="1:14" ht="15" x14ac:dyDescent="0.25">
      <c r="A663" s="381" t="s">
        <v>703</v>
      </c>
      <c r="B663" s="487"/>
      <c r="C663" s="377">
        <v>32</v>
      </c>
      <c r="D663" s="388" t="s">
        <v>47</v>
      </c>
      <c r="E663" s="385">
        <v>41500</v>
      </c>
      <c r="F663" s="385">
        <f t="shared" si="309"/>
        <v>5000</v>
      </c>
      <c r="G663" s="385">
        <f t="shared" si="309"/>
        <v>663.61404207313024</v>
      </c>
      <c r="H663" s="385">
        <f t="shared" si="309"/>
        <v>1000</v>
      </c>
      <c r="I663" s="385">
        <f t="shared" si="309"/>
        <v>1000</v>
      </c>
      <c r="J663" s="385">
        <f t="shared" si="309"/>
        <v>1000</v>
      </c>
      <c r="K663" s="385">
        <f t="shared" si="309"/>
        <v>1000</v>
      </c>
      <c r="L663" s="578">
        <f>SUM(L664)</f>
        <v>6027.6</v>
      </c>
      <c r="M663" s="408">
        <f t="shared" si="305"/>
        <v>100</v>
      </c>
      <c r="N663" s="426">
        <f t="shared" si="306"/>
        <v>100</v>
      </c>
    </row>
    <row r="664" spans="1:14" ht="14.25" x14ac:dyDescent="0.2">
      <c r="A664" s="378" t="s">
        <v>703</v>
      </c>
      <c r="B664" s="486"/>
      <c r="C664" s="390">
        <v>321</v>
      </c>
      <c r="D664" s="391" t="s">
        <v>48</v>
      </c>
      <c r="E664" s="386" t="e">
        <f>SUM(E665:E672)</f>
        <v>#REF!</v>
      </c>
      <c r="F664" s="386">
        <f>SUM(F665)</f>
        <v>5000</v>
      </c>
      <c r="G664" s="386">
        <f>SUM(G665)</f>
        <v>663.61404207313024</v>
      </c>
      <c r="H664" s="386">
        <f>SUM(H665+H666)</f>
        <v>1000</v>
      </c>
      <c r="I664" s="386">
        <v>1000</v>
      </c>
      <c r="J664" s="386">
        <f>SUM(J665+J666)</f>
        <v>1000</v>
      </c>
      <c r="K664" s="386">
        <f>SUM(K665+K666)</f>
        <v>1000</v>
      </c>
      <c r="L664" s="578">
        <f>K665*7.5345</f>
        <v>6027.6</v>
      </c>
      <c r="M664" s="408">
        <f t="shared" si="305"/>
        <v>100</v>
      </c>
      <c r="N664" s="426">
        <f t="shared" si="306"/>
        <v>100</v>
      </c>
    </row>
    <row r="665" spans="1:14" ht="14.25" x14ac:dyDescent="0.2">
      <c r="A665" s="378" t="s">
        <v>703</v>
      </c>
      <c r="B665" s="486"/>
      <c r="C665" s="390">
        <v>3212</v>
      </c>
      <c r="D665" s="391" t="s">
        <v>443</v>
      </c>
      <c r="E665" s="386">
        <v>18000</v>
      </c>
      <c r="F665" s="386">
        <v>5000</v>
      </c>
      <c r="G665" s="386">
        <f>F665/7.5345</f>
        <v>663.61404207313024</v>
      </c>
      <c r="H665" s="386">
        <v>800</v>
      </c>
      <c r="I665" s="386">
        <v>800</v>
      </c>
      <c r="J665" s="386">
        <v>800</v>
      </c>
      <c r="K665" s="386">
        <v>800</v>
      </c>
      <c r="L665" s="578">
        <f>K666*7.5345</f>
        <v>1506.9</v>
      </c>
      <c r="M665" s="408">
        <f t="shared" si="305"/>
        <v>100</v>
      </c>
      <c r="N665" s="426">
        <f t="shared" si="306"/>
        <v>100</v>
      </c>
    </row>
    <row r="666" spans="1:14" ht="14.25" x14ac:dyDescent="0.2">
      <c r="A666" s="378" t="s">
        <v>703</v>
      </c>
      <c r="B666" s="486"/>
      <c r="C666" s="390">
        <v>3212</v>
      </c>
      <c r="D666" s="391" t="s">
        <v>443</v>
      </c>
      <c r="E666" s="386">
        <v>18000</v>
      </c>
      <c r="F666" s="386">
        <v>5000</v>
      </c>
      <c r="G666" s="386">
        <f>F666/7.5345</f>
        <v>663.61404207313024</v>
      </c>
      <c r="H666" s="386">
        <v>200</v>
      </c>
      <c r="I666" s="386">
        <v>200</v>
      </c>
      <c r="J666" s="386">
        <v>200</v>
      </c>
      <c r="K666" s="386">
        <v>200</v>
      </c>
      <c r="L666" s="578">
        <f t="shared" ref="F666:L667" si="310">SUM(L667)</f>
        <v>0</v>
      </c>
      <c r="M666" s="408">
        <f t="shared" si="305"/>
        <v>100</v>
      </c>
      <c r="N666" s="426">
        <f t="shared" si="306"/>
        <v>100</v>
      </c>
    </row>
    <row r="667" spans="1:14" ht="15" thickBot="1" x14ac:dyDescent="0.25">
      <c r="A667" s="378" t="s">
        <v>703</v>
      </c>
      <c r="B667" s="486"/>
      <c r="C667" s="390">
        <v>322</v>
      </c>
      <c r="D667" s="391" t="s">
        <v>52</v>
      </c>
      <c r="E667" s="386" t="e">
        <f>SUM(E668:E672)</f>
        <v>#REF!</v>
      </c>
      <c r="F667" s="386">
        <f t="shared" si="310"/>
        <v>0</v>
      </c>
      <c r="G667" s="386">
        <f t="shared" si="310"/>
        <v>0</v>
      </c>
      <c r="H667" s="386">
        <f t="shared" si="310"/>
        <v>0</v>
      </c>
      <c r="I667" s="386">
        <f t="shared" si="310"/>
        <v>0</v>
      </c>
      <c r="J667" s="386">
        <f t="shared" si="310"/>
        <v>0</v>
      </c>
      <c r="K667" s="386">
        <f t="shared" si="310"/>
        <v>0</v>
      </c>
      <c r="L667" s="581">
        <v>0</v>
      </c>
      <c r="M667" s="408" t="e">
        <f t="shared" ref="M667:M668" si="311">AVERAGE(J667/I667*100)</f>
        <v>#DIV/0!</v>
      </c>
      <c r="N667" s="427" t="e">
        <f>AVERAGE(L666/J667*100)</f>
        <v>#DIV/0!</v>
      </c>
    </row>
    <row r="668" spans="1:14" ht="18.75" thickBot="1" x14ac:dyDescent="0.25">
      <c r="A668" s="495" t="s">
        <v>703</v>
      </c>
      <c r="B668" s="493"/>
      <c r="C668" s="423">
        <v>3221</v>
      </c>
      <c r="D668" s="393" t="s">
        <v>53</v>
      </c>
      <c r="E668" s="384">
        <v>16000</v>
      </c>
      <c r="F668" s="384">
        <v>0</v>
      </c>
      <c r="G668" s="384">
        <v>0</v>
      </c>
      <c r="H668" s="384">
        <v>0</v>
      </c>
      <c r="I668" s="384">
        <v>0</v>
      </c>
      <c r="J668" s="384">
        <v>0</v>
      </c>
      <c r="K668" s="384">
        <v>0</v>
      </c>
      <c r="L668" s="583" t="e">
        <f>SUM(L9+L90+L99+L113+L126+L133+L141+L165+L200+L207+L220+#REF!+L253+L260+L277+L286+L299+L312+L392+L440+#REF!+#REF!+L617+L649)</f>
        <v>#REF!</v>
      </c>
      <c r="M668" s="408" t="e">
        <f t="shared" si="311"/>
        <v>#DIV/0!</v>
      </c>
      <c r="N668" s="434" t="e">
        <f>AVERAGE(L667/J668*100)</f>
        <v>#DIV/0!</v>
      </c>
    </row>
    <row r="669" spans="1:14" ht="18.75" thickBot="1" x14ac:dyDescent="0.25">
      <c r="A669" s="994" t="s">
        <v>110</v>
      </c>
      <c r="B669" s="995"/>
      <c r="C669" s="995"/>
      <c r="D669" s="996"/>
      <c r="E669" s="424" t="e">
        <f>SUM(E8+#REF!+#REF!+#REF!+#REF!+#REF!+#REF!+#REF!+#REF!+#REF!)</f>
        <v>#REF!</v>
      </c>
      <c r="F669" s="424" t="e">
        <f>SUM(F9+F90+F99+F113+F126+F133+F141+F165+F200+F207+F220+#REF!+F253+F260+F277+F286+F299+F312+F392+F440+#REF!+#REF!+F618+F650)</f>
        <v>#REF!</v>
      </c>
      <c r="G669" s="424" t="e">
        <f>SUM(G9+G90+G99+G113+G126+G133+G141+G165+G200+G207+G220+#REF!+G253+G260+G277+G286+G299+G312+G392+G440+#REF!+#REF!+G618+G650)</f>
        <v>#REF!</v>
      </c>
      <c r="H669" s="424">
        <f>SUM(H9+H90+H102+H113+H126+H133+H141+H158+H165+H200+H207+H220+H253+H260+H277+H286+H299+H312+H392+H440+H596+H618+H650)</f>
        <v>3539450</v>
      </c>
      <c r="I669" s="424">
        <f t="shared" ref="I669" si="312">SUM(I9+I90+I99+I102+I113+I126+I133+I141+I148+I158+I165+I200+I207+I220+I253+I260+I277+I286+I299+I312+I392+I440+I596+I618+I650)</f>
        <v>3250950</v>
      </c>
      <c r="J669" s="424">
        <f>SUM(J9+J90+J99+J102+J113+J126+J133+J141+J148+J158+J165+J200+J207+J220+J253+J260+J277+J286+J299+J312+J392+J440+J596+J618+J650)</f>
        <v>4604250</v>
      </c>
      <c r="K669" s="424">
        <f t="shared" ref="K669" si="313">SUM(K9+K90+K99+K102+K113+K126+K133+K141+K148+K158+K165+K200+K207+K220+K253+K260+K277+K286+K299+K312+K392+K440+K596+K618+K650)</f>
        <v>5465550</v>
      </c>
      <c r="M669" s="601">
        <f>AVERAGE(J669/I669*100)</f>
        <v>141.62783186453191</v>
      </c>
      <c r="N669" s="602">
        <f>AVERAGE(K669/J669*100)</f>
        <v>118.70662974425802</v>
      </c>
    </row>
    <row r="671" spans="1:14" x14ac:dyDescent="0.2">
      <c r="B671" s="652"/>
    </row>
  </sheetData>
  <mergeCells count="169">
    <mergeCell ref="A440:D440"/>
    <mergeCell ref="A524:C526"/>
    <mergeCell ref="A650:D650"/>
    <mergeCell ref="M651:M653"/>
    <mergeCell ref="N651:N653"/>
    <mergeCell ref="M524:M526"/>
    <mergeCell ref="N524:N526"/>
    <mergeCell ref="M531:M533"/>
    <mergeCell ref="N531:N533"/>
    <mergeCell ref="M501:M503"/>
    <mergeCell ref="N501:N503"/>
    <mergeCell ref="M555:M557"/>
    <mergeCell ref="N555:N557"/>
    <mergeCell ref="M611:M613"/>
    <mergeCell ref="N611:N613"/>
    <mergeCell ref="M508:M510"/>
    <mergeCell ref="N508:N510"/>
    <mergeCell ref="M578:M580"/>
    <mergeCell ref="N578:N580"/>
    <mergeCell ref="M586:M588"/>
    <mergeCell ref="N586:N588"/>
    <mergeCell ref="N518:N520"/>
    <mergeCell ref="M639:M641"/>
    <mergeCell ref="N639:N641"/>
    <mergeCell ref="N619:N621"/>
    <mergeCell ref="M518:M520"/>
    <mergeCell ref="M489:M491"/>
    <mergeCell ref="N489:N491"/>
    <mergeCell ref="M149:M151"/>
    <mergeCell ref="N149:N151"/>
    <mergeCell ref="M343:M345"/>
    <mergeCell ref="M563:M565"/>
    <mergeCell ref="N563:N565"/>
    <mergeCell ref="N355:N357"/>
    <mergeCell ref="M361:M363"/>
    <mergeCell ref="N361:N363"/>
    <mergeCell ref="M423:M425"/>
    <mergeCell ref="N423:N425"/>
    <mergeCell ref="N367:N369"/>
    <mergeCell ref="N416:N418"/>
    <mergeCell ref="M355:M357"/>
    <mergeCell ref="N449:N451"/>
    <mergeCell ref="M393:M395"/>
    <mergeCell ref="N393:N395"/>
    <mergeCell ref="N399:N401"/>
    <mergeCell ref="M375:M377"/>
    <mergeCell ref="N375:N377"/>
    <mergeCell ref="M455:M457"/>
    <mergeCell ref="A669:D669"/>
    <mergeCell ref="A618:D618"/>
    <mergeCell ref="M619:M621"/>
    <mergeCell ref="A596:D596"/>
    <mergeCell ref="M597:M599"/>
    <mergeCell ref="N597:N599"/>
    <mergeCell ref="M604:M606"/>
    <mergeCell ref="N604:N606"/>
    <mergeCell ref="M134:M136"/>
    <mergeCell ref="N134:N136"/>
    <mergeCell ref="D247:D248"/>
    <mergeCell ref="M300:M302"/>
    <mergeCell ref="N300:N302"/>
    <mergeCell ref="M306:M308"/>
    <mergeCell ref="N306:N308"/>
    <mergeCell ref="M313:M315"/>
    <mergeCell ref="N142:N144"/>
    <mergeCell ref="M239:M241"/>
    <mergeCell ref="N239:N241"/>
    <mergeCell ref="M261:M263"/>
    <mergeCell ref="N261:N263"/>
    <mergeCell ref="M175:M177"/>
    <mergeCell ref="M159:M161"/>
    <mergeCell ref="M467:M469"/>
    <mergeCell ref="N159:N161"/>
    <mergeCell ref="M166:M169"/>
    <mergeCell ref="N166:N169"/>
    <mergeCell ref="N175:N177"/>
    <mergeCell ref="M188:M190"/>
    <mergeCell ref="N221:N223"/>
    <mergeCell ref="N188:N190"/>
    <mergeCell ref="M194:M196"/>
    <mergeCell ref="N194:N196"/>
    <mergeCell ref="M201:M203"/>
    <mergeCell ref="N201:N203"/>
    <mergeCell ref="N214:N216"/>
    <mergeCell ref="M58:M60"/>
    <mergeCell ref="N58:N60"/>
    <mergeCell ref="M70:M72"/>
    <mergeCell ref="N70:N72"/>
    <mergeCell ref="M78:M80"/>
    <mergeCell ref="M114:M116"/>
    <mergeCell ref="N114:N116"/>
    <mergeCell ref="A90:D90"/>
    <mergeCell ref="M120:M122"/>
    <mergeCell ref="M84:M86"/>
    <mergeCell ref="N84:N86"/>
    <mergeCell ref="N120:N122"/>
    <mergeCell ref="M91:M93"/>
    <mergeCell ref="N91:N93"/>
    <mergeCell ref="N78:N80"/>
    <mergeCell ref="A1:N1"/>
    <mergeCell ref="A2:N2"/>
    <mergeCell ref="M10:M12"/>
    <mergeCell ref="N10:N12"/>
    <mergeCell ref="M26:M28"/>
    <mergeCell ref="N26:N28"/>
    <mergeCell ref="A9:D9"/>
    <mergeCell ref="A3:F3"/>
    <mergeCell ref="A8:D8"/>
    <mergeCell ref="A7:D7"/>
    <mergeCell ref="M479:M481"/>
    <mergeCell ref="N479:N481"/>
    <mergeCell ref="M461:M463"/>
    <mergeCell ref="N461:N463"/>
    <mergeCell ref="A141:D141"/>
    <mergeCell ref="A99:D99"/>
    <mergeCell ref="A253:D253"/>
    <mergeCell ref="A260:D260"/>
    <mergeCell ref="A165:D165"/>
    <mergeCell ref="A200:D200"/>
    <mergeCell ref="A207:D207"/>
    <mergeCell ref="A220:D220"/>
    <mergeCell ref="D168:D169"/>
    <mergeCell ref="A158:D158"/>
    <mergeCell ref="A148:D148"/>
    <mergeCell ref="A299:D299"/>
    <mergeCell ref="M142:M144"/>
    <mergeCell ref="N267:N269"/>
    <mergeCell ref="M208:M210"/>
    <mergeCell ref="N208:N210"/>
    <mergeCell ref="M214:M216"/>
    <mergeCell ref="A133:D133"/>
    <mergeCell ref="A126:D126"/>
    <mergeCell ref="A113:D113"/>
    <mergeCell ref="M473:M475"/>
    <mergeCell ref="N473:N475"/>
    <mergeCell ref="M267:M269"/>
    <mergeCell ref="M222:M223"/>
    <mergeCell ref="M449:M451"/>
    <mergeCell ref="M385:M387"/>
    <mergeCell ref="N385:N387"/>
    <mergeCell ref="M441:M443"/>
    <mergeCell ref="N441:N443"/>
    <mergeCell ref="N455:N457"/>
    <mergeCell ref="M416:M418"/>
    <mergeCell ref="N467:N469"/>
    <mergeCell ref="M405:M407"/>
    <mergeCell ref="N405:N407"/>
    <mergeCell ref="N343:N345"/>
    <mergeCell ref="M349:M351"/>
    <mergeCell ref="M367:M369"/>
    <mergeCell ref="N349:N351"/>
    <mergeCell ref="M399:M401"/>
    <mergeCell ref="A277:D277"/>
    <mergeCell ref="A286:D286"/>
    <mergeCell ref="A312:D312"/>
    <mergeCell ref="A392:D392"/>
    <mergeCell ref="N331:N333"/>
    <mergeCell ref="N321:N323"/>
    <mergeCell ref="M331:M333"/>
    <mergeCell ref="N278:N280"/>
    <mergeCell ref="N287:N289"/>
    <mergeCell ref="M293:M295"/>
    <mergeCell ref="N293:N295"/>
    <mergeCell ref="N313:N315"/>
    <mergeCell ref="M321:M323"/>
    <mergeCell ref="M337:M339"/>
    <mergeCell ref="N337:N339"/>
    <mergeCell ref="M287:M289"/>
    <mergeCell ref="M278:M280"/>
  </mergeCells>
  <phoneticPr fontId="7" type="noConversion"/>
  <printOptions horizontalCentered="1"/>
  <pageMargins left="0.23622047244094491" right="0.23622047244094491" top="0.35433070866141736" bottom="0.47244094488188981" header="0.31496062992125984" footer="0.31496062992125984"/>
  <pageSetup paperSize="9" scale="56" fitToHeight="0" orientation="portrait" horizontalDpi="300" verticalDpi="300" r:id="rId1"/>
  <rowBreaks count="6" manualBreakCount="6">
    <brk id="89" max="13" man="1"/>
    <brk id="171" max="13" man="1"/>
    <brk id="335" max="13" man="1"/>
    <brk id="398" max="13" man="1"/>
    <brk id="466" max="13" man="1"/>
    <brk id="52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10</vt:i4>
      </vt:variant>
    </vt:vector>
  </HeadingPairs>
  <TitlesOfParts>
    <vt:vector size="13" baseType="lpstr">
      <vt:lpstr>POSEBNI DIO</vt:lpstr>
      <vt:lpstr>Opći dio</vt:lpstr>
      <vt:lpstr>Posebni</vt:lpstr>
      <vt:lpstr>BROJ_KONTA</vt:lpstr>
      <vt:lpstr>'Opći dio'!Ispis_naslova</vt:lpstr>
      <vt:lpstr>Posebni!Ispis_naslova</vt:lpstr>
      <vt:lpstr>Ostv_2004.</vt:lpstr>
      <vt:lpstr>Plan_2005</vt:lpstr>
      <vt:lpstr>'Opći dio'!Podrucje_ispisa</vt:lpstr>
      <vt:lpstr>Posebni!Podrucje_ispisa</vt:lpstr>
      <vt:lpstr>'POSEBNI DIO'!Podrucje_ispisa</vt:lpstr>
      <vt:lpstr>Procj_2005</vt:lpstr>
      <vt:lpstr>VRSTA_PRIHODA_IZDATAKA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Županija Brodsko-Posavska</dc:creator>
  <cp:lastModifiedBy>OPĆ GORNJA VRBA</cp:lastModifiedBy>
  <cp:lastPrinted>2025-11-14T15:02:29Z</cp:lastPrinted>
  <dcterms:created xsi:type="dcterms:W3CDTF">2005-09-08T07:24:42Z</dcterms:created>
  <dcterms:modified xsi:type="dcterms:W3CDTF">2025-11-14T15:05:39Z</dcterms:modified>
</cp:coreProperties>
</file>